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drawings/drawing8.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rainsa2019.sharepoint.com/sites/ProductionEconomics/Produksie Begrotings_Production Budgets/"/>
    </mc:Choice>
  </mc:AlternateContent>
  <xr:revisionPtr revIDLastSave="1410" documentId="13_ncr:1_{5710D3D1-AB4C-42D0-B3A2-45F52ADA4962}" xr6:coauthVersionLast="47" xr6:coauthVersionMax="47" xr10:uidLastSave="{146CADCF-FE02-4E08-968E-06D6AA2AF95F}"/>
  <bookViews>
    <workbookView xWindow="-108" yWindow="-108" windowWidth="23256" windowHeight="12456" tabRatio="919" xr2:uid="{00000000-000D-0000-FFFF-FFFF00000000}"/>
  </bookViews>
  <sheets>
    <sheet name="Pryse + Sensatiwiteitsanalise" sheetId="38" r:id="rId1"/>
    <sheet name="W-Mielie " sheetId="2" r:id="rId2"/>
    <sheet name="W-BT Mielies" sheetId="22" r:id="rId3"/>
    <sheet name="Bes-mielies" sheetId="10" r:id="rId4"/>
    <sheet name="Sonneblom" sheetId="20" r:id="rId5"/>
    <sheet name="Sojabone" sheetId="34" r:id="rId6"/>
    <sheet name="Crop Comparison" sheetId="39" r:id="rId7"/>
    <sheet name="Grafieke" sheetId="40" r:id="rId8"/>
  </sheets>
  <externalReferences>
    <externalReference r:id="rId9"/>
    <externalReference r:id="rId10"/>
    <externalReference r:id="rId11"/>
    <externalReference r:id="rId12"/>
  </externalReferences>
  <definedNames>
    <definedName name="BTopbrengspeil">'[1]W-BT Mielies'!$K$9:$K$14</definedName>
    <definedName name="Cultivar">[2]Seedprices!$A$3:$A$49</definedName>
    <definedName name="Obrengspeil">'W-BT Mielies'!$J$9:$J$14</definedName>
    <definedName name="Price80DP">[2]Seedprices!$B$3:$B$49</definedName>
    <definedName name="_xlnm.Print_Area" localSheetId="3">'Bes-mielies'!$A$1:$E$47</definedName>
    <definedName name="_xlnm.Print_Area" localSheetId="5">Sojabone!$A$1:$G$43</definedName>
    <definedName name="_xlnm.Print_Area" localSheetId="4">Sonneblom!$A$1:$H$43</definedName>
    <definedName name="_xlnm.Print_Area" localSheetId="2">'W-BT Mielies'!$A$1:$H$47</definedName>
    <definedName name="_xlnm.Print_Area" localSheetId="1">'W-Mielie '!$A$1:$I$47</definedName>
    <definedName name="RRLopbrengspeil">'[3]W-RR mielies Laer opbrengs '!$M$9:$M$14</definedName>
    <definedName name="Sojaopbrengspeil" localSheetId="7">[1]Sojabone!$K$9:$K$13</definedName>
    <definedName name="Sojaopbrengspeil">Sojabone!$I$9:$I$12</definedName>
    <definedName name="Sonopbrengspeil" localSheetId="7">[1]Sonneblom!$K$9:$K$13</definedName>
    <definedName name="Sonopbrengspeil">Sonneblom!#REF!</definedName>
    <definedName name="Sorgopbrengspeil">[1]Graansorghum!$K$9:$K$13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 i="34" l="1"/>
  <c r="B22" i="40"/>
  <c r="B21" i="40"/>
  <c r="F12" i="39"/>
  <c r="F13" i="39"/>
  <c r="F14" i="39"/>
  <c r="F15" i="39"/>
  <c r="F16" i="39"/>
  <c r="F17" i="39"/>
  <c r="F19" i="39"/>
  <c r="F20" i="39"/>
  <c r="F22" i="39"/>
  <c r="F23" i="39"/>
  <c r="F24" i="39"/>
  <c r="F27" i="39"/>
  <c r="F4" i="39"/>
  <c r="F11" i="39"/>
  <c r="E12" i="39"/>
  <c r="E13" i="39"/>
  <c r="E14" i="39"/>
  <c r="E15" i="39"/>
  <c r="E16" i="39"/>
  <c r="E17" i="39"/>
  <c r="E20" i="39"/>
  <c r="E22" i="39"/>
  <c r="E23" i="39"/>
  <c r="E24" i="39"/>
  <c r="E27" i="39"/>
  <c r="E11" i="39"/>
  <c r="D12" i="39"/>
  <c r="D13" i="39"/>
  <c r="D14" i="39"/>
  <c r="D15" i="39"/>
  <c r="D16" i="39"/>
  <c r="D17" i="39"/>
  <c r="D20" i="39"/>
  <c r="D22" i="39"/>
  <c r="D23" i="39"/>
  <c r="D24" i="39"/>
  <c r="D27" i="39"/>
  <c r="D11" i="39"/>
  <c r="C12" i="39"/>
  <c r="C13" i="39"/>
  <c r="C14" i="39"/>
  <c r="C15" i="39"/>
  <c r="C16" i="39"/>
  <c r="C17" i="39"/>
  <c r="C20" i="39"/>
  <c r="C22" i="39"/>
  <c r="C23" i="39"/>
  <c r="C24" i="39"/>
  <c r="C27" i="39"/>
  <c r="C11" i="39"/>
  <c r="E26" i="20"/>
  <c r="E30" i="20" s="1"/>
  <c r="F26" i="20"/>
  <c r="G26" i="20"/>
  <c r="H26" i="20"/>
  <c r="D26" i="20"/>
  <c r="D30" i="20" s="1"/>
  <c r="D32" i="20" s="1"/>
  <c r="B12" i="39"/>
  <c r="B13" i="39"/>
  <c r="B14" i="39"/>
  <c r="B15" i="39"/>
  <c r="B16" i="39"/>
  <c r="B17" i="39"/>
  <c r="B20" i="39"/>
  <c r="B22" i="39"/>
  <c r="B23" i="39"/>
  <c r="B24" i="39"/>
  <c r="B27" i="39"/>
  <c r="B11" i="39"/>
  <c r="A12" i="39"/>
  <c r="A13" i="39"/>
  <c r="A14" i="39"/>
  <c r="A15" i="39"/>
  <c r="A16" i="39"/>
  <c r="A17" i="39"/>
  <c r="A18" i="39"/>
  <c r="A19" i="39"/>
  <c r="A20" i="39"/>
  <c r="A21" i="39"/>
  <c r="A22" i="39"/>
  <c r="A23" i="39"/>
  <c r="A24" i="39"/>
  <c r="A25" i="39"/>
  <c r="A26" i="39"/>
  <c r="A27" i="39"/>
  <c r="A11" i="39"/>
  <c r="C26" i="10"/>
  <c r="D37" i="2"/>
  <c r="D26" i="2"/>
  <c r="D30" i="2" s="1"/>
  <c r="D32" i="2" s="1"/>
  <c r="D36" i="2" s="1"/>
  <c r="A10" i="20"/>
  <c r="A10" i="34" s="1"/>
  <c r="A10" i="10" s="1"/>
  <c r="A11" i="20"/>
  <c r="A11" i="34" s="1"/>
  <c r="A11" i="10" s="1"/>
  <c r="A12" i="20"/>
  <c r="A12" i="34" s="1"/>
  <c r="A12" i="10" s="1"/>
  <c r="A21" i="20"/>
  <c r="A21" i="34" s="1"/>
  <c r="A21" i="10" s="1"/>
  <c r="A22" i="20"/>
  <c r="A22" i="34" s="1"/>
  <c r="A22" i="10" s="1"/>
  <c r="A23" i="20"/>
  <c r="A23" i="34" s="1"/>
  <c r="A23" i="10" s="1"/>
  <c r="A24" i="20"/>
  <c r="A24" i="34" s="1"/>
  <c r="A24" i="10" s="1"/>
  <c r="A25" i="20"/>
  <c r="A25" i="34" s="1"/>
  <c r="A25" i="10" s="1"/>
  <c r="A10" i="22"/>
  <c r="A11" i="22"/>
  <c r="A12" i="22"/>
  <c r="A13" i="22"/>
  <c r="A13" i="20" s="1"/>
  <c r="A13" i="34" s="1"/>
  <c r="A13" i="10" s="1"/>
  <c r="A14" i="22"/>
  <c r="A14" i="20" s="1"/>
  <c r="A14" i="34" s="1"/>
  <c r="A14" i="10" s="1"/>
  <c r="A15" i="22"/>
  <c r="A15" i="20" s="1"/>
  <c r="A15" i="34" s="1"/>
  <c r="A15" i="10" s="1"/>
  <c r="A16" i="22"/>
  <c r="A16" i="20" s="1"/>
  <c r="A16" i="34" s="1"/>
  <c r="A16" i="10" s="1"/>
  <c r="A17" i="22"/>
  <c r="A17" i="20" s="1"/>
  <c r="A17" i="34" s="1"/>
  <c r="A17" i="10" s="1"/>
  <c r="A18" i="22"/>
  <c r="A18" i="20" s="1"/>
  <c r="A18" i="34" s="1"/>
  <c r="A18" i="10" s="1"/>
  <c r="A19" i="22"/>
  <c r="A19" i="20" s="1"/>
  <c r="A19" i="34" s="1"/>
  <c r="A19" i="10" s="1"/>
  <c r="A20" i="22"/>
  <c r="A20" i="20" s="1"/>
  <c r="A20" i="34" s="1"/>
  <c r="A20" i="10" s="1"/>
  <c r="A21" i="22"/>
  <c r="A22" i="22"/>
  <c r="A23" i="22"/>
  <c r="A24" i="22"/>
  <c r="A25" i="22"/>
  <c r="A9" i="22"/>
  <c r="A9" i="20" s="1"/>
  <c r="A9" i="34" s="1"/>
  <c r="A9" i="10" s="1"/>
  <c r="D28" i="39" l="1"/>
  <c r="B20" i="40" s="1"/>
  <c r="C28" i="39"/>
  <c r="D4" i="39" l="1"/>
  <c r="B30" i="39"/>
  <c r="E4" i="39"/>
  <c r="C4" i="39"/>
  <c r="B4" i="39"/>
  <c r="E28" i="39" l="1"/>
  <c r="B28" i="39"/>
  <c r="B32" i="39" l="1"/>
  <c r="E26" i="2" l="1"/>
  <c r="E30" i="2" s="1"/>
  <c r="F26" i="2"/>
  <c r="F30" i="2" s="1"/>
  <c r="G26" i="2"/>
  <c r="G30" i="2" s="1"/>
  <c r="H26" i="2"/>
  <c r="H30" i="2" s="1"/>
  <c r="I26" i="2"/>
  <c r="I30" i="2" s="1"/>
  <c r="D34" i="10"/>
  <c r="E34" i="10"/>
  <c r="C34" i="10"/>
  <c r="D26" i="10"/>
  <c r="E26" i="10"/>
  <c r="C30" i="10"/>
  <c r="C32" i="10" s="1"/>
  <c r="E34" i="34"/>
  <c r="F34" i="34"/>
  <c r="G34" i="34"/>
  <c r="D34" i="34"/>
  <c r="D26" i="34"/>
  <c r="D30" i="34" s="1"/>
  <c r="D32" i="34" s="1"/>
  <c r="D36" i="34" s="1"/>
  <c r="D34" i="22"/>
  <c r="E34" i="22"/>
  <c r="F34" i="22"/>
  <c r="G34" i="22"/>
  <c r="H34" i="22"/>
  <c r="C34" i="22"/>
  <c r="E34" i="2"/>
  <c r="F34" i="2"/>
  <c r="G34" i="2"/>
  <c r="H34" i="2"/>
  <c r="I34" i="2"/>
  <c r="D34" i="2"/>
  <c r="D26" i="22" l="1"/>
  <c r="D30" i="22" s="1"/>
  <c r="D32" i="22" s="1"/>
  <c r="E26" i="22"/>
  <c r="E30" i="22" s="1"/>
  <c r="E32" i="22" s="1"/>
  <c r="F26" i="22"/>
  <c r="F30" i="22" s="1"/>
  <c r="F32" i="22" s="1"/>
  <c r="G26" i="22"/>
  <c r="G30" i="22" s="1"/>
  <c r="G32" i="22" s="1"/>
  <c r="H26" i="22"/>
  <c r="H30" i="22" s="1"/>
  <c r="H32" i="22" s="1"/>
  <c r="C26" i="22"/>
  <c r="C30" i="22" s="1"/>
  <c r="C32" i="22" s="1"/>
  <c r="C36" i="22" s="1"/>
  <c r="I32" i="2"/>
  <c r="E32" i="2"/>
  <c r="F32" i="2"/>
  <c r="G32" i="2"/>
  <c r="H32" i="2"/>
  <c r="E5" i="39" l="1"/>
  <c r="D5" i="39"/>
  <c r="E29" i="38"/>
  <c r="D30" i="39"/>
  <c r="B25" i="38" l="1"/>
  <c r="D32" i="39" l="1"/>
  <c r="B24" i="38"/>
  <c r="B38" i="38"/>
  <c r="F26" i="34" l="1"/>
  <c r="F30" i="34" s="1"/>
  <c r="F32" i="34" s="1"/>
  <c r="G26" i="34"/>
  <c r="G30" i="34" s="1"/>
  <c r="G32" i="34" s="1"/>
  <c r="E26" i="34"/>
  <c r="E30" i="34" s="1"/>
  <c r="E32" i="34" s="1"/>
  <c r="L9" i="22"/>
  <c r="E30" i="39"/>
  <c r="B38" i="40" s="1"/>
  <c r="F61" i="39"/>
  <c r="E61" i="39"/>
  <c r="D61" i="39"/>
  <c r="C61" i="39"/>
  <c r="B61" i="39"/>
  <c r="E6" i="39"/>
  <c r="E60" i="39"/>
  <c r="D6" i="39"/>
  <c r="B6" i="39"/>
  <c r="B5" i="39"/>
  <c r="F2" i="39"/>
  <c r="F59" i="39" s="1"/>
  <c r="E2" i="39"/>
  <c r="E59" i="39" s="1"/>
  <c r="D2" i="39"/>
  <c r="D59" i="39" s="1"/>
  <c r="C2" i="39"/>
  <c r="C59" i="39" s="1"/>
  <c r="B2" i="39"/>
  <c r="B59" i="39" s="1"/>
  <c r="K10" i="34"/>
  <c r="J13" i="34"/>
  <c r="I13" i="34"/>
  <c r="I12" i="34"/>
  <c r="I11" i="34"/>
  <c r="I10" i="34"/>
  <c r="K9" i="34"/>
  <c r="I9" i="34"/>
  <c r="J14" i="22"/>
  <c r="J13" i="22"/>
  <c r="J12" i="22"/>
  <c r="J11" i="22"/>
  <c r="J10" i="22"/>
  <c r="J9" i="22"/>
  <c r="F37" i="34"/>
  <c r="D37" i="20"/>
  <c r="E37" i="20" s="1"/>
  <c r="D34" i="20"/>
  <c r="G34" i="20" s="1"/>
  <c r="E32" i="20"/>
  <c r="H30" i="20"/>
  <c r="H32" i="20" s="1"/>
  <c r="K12" i="22"/>
  <c r="K14" i="22"/>
  <c r="C37" i="22"/>
  <c r="H37" i="22" s="1"/>
  <c r="G37" i="2"/>
  <c r="C37" i="10"/>
  <c r="D37" i="10" s="1"/>
  <c r="D30" i="10"/>
  <c r="D32" i="10" s="1"/>
  <c r="E30" i="10"/>
  <c r="E32" i="10" s="1"/>
  <c r="B44" i="38"/>
  <c r="B43" i="38"/>
  <c r="J38" i="38" s="1"/>
  <c r="E42" i="38"/>
  <c r="B31" i="38"/>
  <c r="B18" i="38"/>
  <c r="B30" i="38"/>
  <c r="J25" i="38" s="1"/>
  <c r="B17" i="38"/>
  <c r="E16" i="38"/>
  <c r="E15" i="38" s="1"/>
  <c r="E14" i="38" s="1"/>
  <c r="Q29" i="38"/>
  <c r="Q28" i="38" s="1"/>
  <c r="Q27" i="38" s="1"/>
  <c r="K13" i="34"/>
  <c r="Q16" i="38" l="1"/>
  <c r="Q17" i="38" s="1"/>
  <c r="Q18" i="38" s="1"/>
  <c r="E17" i="38"/>
  <c r="E18" i="38" s="1"/>
  <c r="G30" i="20"/>
  <c r="G32" i="20" s="1"/>
  <c r="F30" i="20"/>
  <c r="F32" i="20" s="1"/>
  <c r="J10" i="34"/>
  <c r="J9" i="34"/>
  <c r="J39" i="38"/>
  <c r="B19" i="38"/>
  <c r="E3" i="2" s="1"/>
  <c r="D60" i="39"/>
  <c r="D7" i="39"/>
  <c r="D8" i="39" s="1"/>
  <c r="E28" i="38"/>
  <c r="E27" i="38" s="1"/>
  <c r="C5" i="39"/>
  <c r="C60" i="39" s="1"/>
  <c r="B7" i="39"/>
  <c r="B8" i="39" s="1"/>
  <c r="J11" i="34"/>
  <c r="B37" i="38"/>
  <c r="J12" i="38"/>
  <c r="I12" i="38" s="1"/>
  <c r="H12" i="38" s="1"/>
  <c r="G12" i="38" s="1"/>
  <c r="E37" i="34"/>
  <c r="H37" i="20"/>
  <c r="G37" i="20"/>
  <c r="D36" i="20"/>
  <c r="E34" i="20"/>
  <c r="H34" i="20"/>
  <c r="F34" i="20"/>
  <c r="F37" i="20"/>
  <c r="D68" i="39"/>
  <c r="C30" i="39"/>
  <c r="K10" i="22"/>
  <c r="F36" i="2"/>
  <c r="F28" i="39"/>
  <c r="B45" i="38"/>
  <c r="E3" i="34" s="1"/>
  <c r="G37" i="34"/>
  <c r="B60" i="39"/>
  <c r="F5" i="39"/>
  <c r="F60" i="39" s="1"/>
  <c r="E37" i="10"/>
  <c r="F37" i="22"/>
  <c r="K9" i="22"/>
  <c r="E37" i="22"/>
  <c r="G37" i="22"/>
  <c r="E37" i="2"/>
  <c r="C6" i="39"/>
  <c r="E41" i="38"/>
  <c r="E40" i="38" s="1"/>
  <c r="E43" i="38"/>
  <c r="E44" i="38" s="1"/>
  <c r="Q42" i="38"/>
  <c r="B32" i="38"/>
  <c r="E3" i="20" s="1"/>
  <c r="Q30" i="38"/>
  <c r="Q31" i="38" s="1"/>
  <c r="E7" i="39"/>
  <c r="E8" i="39" s="1"/>
  <c r="B39" i="40" s="1"/>
  <c r="K11" i="22"/>
  <c r="K13" i="22"/>
  <c r="V38" i="38"/>
  <c r="I38" i="38"/>
  <c r="K38" i="38"/>
  <c r="J12" i="34"/>
  <c r="F6" i="39"/>
  <c r="H37" i="2"/>
  <c r="E30" i="38"/>
  <c r="E31" i="38" s="1"/>
  <c r="Q15" i="38"/>
  <c r="Q14" i="38" s="1"/>
  <c r="D37" i="22"/>
  <c r="F37" i="2"/>
  <c r="I37" i="2"/>
  <c r="B34" i="39" l="1"/>
  <c r="B35" i="39"/>
  <c r="D3" i="22"/>
  <c r="C39" i="22" s="1"/>
  <c r="D3" i="10"/>
  <c r="E39" i="10" s="1"/>
  <c r="E32" i="39"/>
  <c r="E71" i="39" s="1"/>
  <c r="E72" i="39" s="1"/>
  <c r="E86" i="39" s="1"/>
  <c r="B37" i="40"/>
  <c r="B41" i="40" s="1"/>
  <c r="C39" i="40" s="1"/>
  <c r="B4" i="40"/>
  <c r="B12" i="38"/>
  <c r="D34" i="39"/>
  <c r="D75" i="39" s="1"/>
  <c r="D76" i="39" s="1"/>
  <c r="D35" i="39"/>
  <c r="H13" i="38"/>
  <c r="E68" i="39"/>
  <c r="E69" i="39" s="1"/>
  <c r="E83" i="39" s="1"/>
  <c r="C7" i="39"/>
  <c r="C8" i="39" s="1"/>
  <c r="B5" i="40" s="1"/>
  <c r="B3" i="40"/>
  <c r="D39" i="2"/>
  <c r="E36" i="20"/>
  <c r="I13" i="38"/>
  <c r="K12" i="38"/>
  <c r="L12" i="38" s="1"/>
  <c r="J13" i="38"/>
  <c r="V12" i="38"/>
  <c r="U12" i="38" s="1"/>
  <c r="F68" i="39"/>
  <c r="F69" i="39" s="1"/>
  <c r="F83" i="39" s="1"/>
  <c r="D69" i="39"/>
  <c r="D83" i="39" s="1"/>
  <c r="E36" i="34"/>
  <c r="F36" i="20"/>
  <c r="D36" i="22"/>
  <c r="L10" i="22"/>
  <c r="G36" i="2"/>
  <c r="E36" i="2"/>
  <c r="F7" i="39"/>
  <c r="F8" i="39" s="1"/>
  <c r="F39" i="2"/>
  <c r="F39" i="34"/>
  <c r="E40" i="34"/>
  <c r="D39" i="34"/>
  <c r="D64" i="39"/>
  <c r="D82" i="39" s="1"/>
  <c r="I39" i="2"/>
  <c r="G39" i="2"/>
  <c r="H39" i="2"/>
  <c r="G39" i="34"/>
  <c r="I25" i="38"/>
  <c r="K25" i="38"/>
  <c r="J26" i="38"/>
  <c r="V25" i="38"/>
  <c r="B64" i="39"/>
  <c r="H36" i="2"/>
  <c r="F12" i="38"/>
  <c r="F13" i="38" s="1"/>
  <c r="G13" i="38"/>
  <c r="H38" i="38"/>
  <c r="I39" i="38"/>
  <c r="E64" i="39"/>
  <c r="V39" i="38"/>
  <c r="W38" i="38"/>
  <c r="U38" i="38"/>
  <c r="K39" i="38"/>
  <c r="L38" i="38"/>
  <c r="Q43" i="38"/>
  <c r="Q44" i="38" s="1"/>
  <c r="Q41" i="38"/>
  <c r="Q40" i="38" s="1"/>
  <c r="L11" i="22"/>
  <c r="K11" i="34"/>
  <c r="B39" i="38" s="1"/>
  <c r="F36" i="34"/>
  <c r="H39" i="22" l="1"/>
  <c r="C64" i="39"/>
  <c r="B65" i="39"/>
  <c r="E39" i="22"/>
  <c r="G39" i="22"/>
  <c r="C39" i="10"/>
  <c r="F39" i="22"/>
  <c r="C40" i="22"/>
  <c r="D39" i="22"/>
  <c r="D39" i="10"/>
  <c r="F41" i="40"/>
  <c r="F36" i="40" s="1"/>
  <c r="E65" i="39"/>
  <c r="E82" i="39"/>
  <c r="C38" i="40"/>
  <c r="C37" i="40"/>
  <c r="B24" i="40"/>
  <c r="F24" i="40"/>
  <c r="B7" i="40"/>
  <c r="C5" i="40" s="1"/>
  <c r="F7" i="40"/>
  <c r="D71" i="39"/>
  <c r="D72" i="39" s="1"/>
  <c r="D86" i="39" s="1"/>
  <c r="D78" i="39"/>
  <c r="D79" i="39" s="1"/>
  <c r="C68" i="39"/>
  <c r="C69" i="39" s="1"/>
  <c r="C83" i="39" s="1"/>
  <c r="B11" i="38"/>
  <c r="W12" i="38"/>
  <c r="W13" i="38" s="1"/>
  <c r="F64" i="39"/>
  <c r="F65" i="39" s="1"/>
  <c r="F34" i="39"/>
  <c r="F75" i="39" s="1"/>
  <c r="F76" i="39" s="1"/>
  <c r="C32" i="39"/>
  <c r="C71" i="39" s="1"/>
  <c r="C72" i="39" s="1"/>
  <c r="C86" i="39" s="1"/>
  <c r="V13" i="38"/>
  <c r="K13" i="38"/>
  <c r="F82" i="39"/>
  <c r="E40" i="2"/>
  <c r="D40" i="34"/>
  <c r="E39" i="34"/>
  <c r="G36" i="20"/>
  <c r="B68" i="39"/>
  <c r="B82" i="39" s="1"/>
  <c r="F40" i="2"/>
  <c r="G40" i="2"/>
  <c r="E39" i="2"/>
  <c r="D65" i="39"/>
  <c r="L13" i="38"/>
  <c r="M12" i="38"/>
  <c r="H40" i="2"/>
  <c r="G39" i="20"/>
  <c r="F40" i="20"/>
  <c r="F39" i="20"/>
  <c r="H39" i="20"/>
  <c r="I36" i="2"/>
  <c r="I40" i="2"/>
  <c r="F40" i="34"/>
  <c r="D40" i="20"/>
  <c r="D39" i="20"/>
  <c r="E40" i="20"/>
  <c r="E39" i="20"/>
  <c r="V43" i="38"/>
  <c r="V42" i="38"/>
  <c r="V44" i="38"/>
  <c r="V41" i="38"/>
  <c r="V40" i="38"/>
  <c r="L25" i="38"/>
  <c r="K26" i="38"/>
  <c r="K44" i="38"/>
  <c r="K42" i="38"/>
  <c r="K41" i="38"/>
  <c r="K40" i="38"/>
  <c r="K43" i="38"/>
  <c r="E34" i="39"/>
  <c r="E75" i="39" s="1"/>
  <c r="E76" i="39" s="1"/>
  <c r="E35" i="39"/>
  <c r="E78" i="39" s="1"/>
  <c r="E79" i="39" s="1"/>
  <c r="I26" i="38"/>
  <c r="H25" i="38"/>
  <c r="U13" i="38"/>
  <c r="T12" i="38"/>
  <c r="I43" i="38"/>
  <c r="I44" i="38"/>
  <c r="I42" i="38"/>
  <c r="I40" i="38"/>
  <c r="I41" i="38"/>
  <c r="G38" i="38"/>
  <c r="H39" i="38"/>
  <c r="C34" i="39"/>
  <c r="C75" i="39" s="1"/>
  <c r="C76" i="39" s="1"/>
  <c r="J43" i="38"/>
  <c r="J41" i="38"/>
  <c r="J44" i="38"/>
  <c r="J40" i="38"/>
  <c r="J42" i="38"/>
  <c r="U25" i="38"/>
  <c r="W25" i="38"/>
  <c r="V26" i="38"/>
  <c r="K12" i="34"/>
  <c r="U39" i="38"/>
  <c r="T38" i="38"/>
  <c r="B75" i="39"/>
  <c r="B76" i="39" s="1"/>
  <c r="M38" i="38"/>
  <c r="L39" i="38"/>
  <c r="X38" i="38"/>
  <c r="W39" i="38"/>
  <c r="E85" i="39"/>
  <c r="C82" i="39" l="1"/>
  <c r="C65" i="39"/>
  <c r="D40" i="22"/>
  <c r="C41" i="40"/>
  <c r="F38" i="40" s="1"/>
  <c r="D85" i="39"/>
  <c r="F2" i="40"/>
  <c r="C22" i="40"/>
  <c r="C20" i="40"/>
  <c r="C21" i="40"/>
  <c r="F19" i="40"/>
  <c r="C4" i="40"/>
  <c r="C3" i="40"/>
  <c r="V15" i="38"/>
  <c r="X12" i="38"/>
  <c r="Y12" i="38" s="1"/>
  <c r="V14" i="38"/>
  <c r="V16" i="38"/>
  <c r="V18" i="38"/>
  <c r="C85" i="39"/>
  <c r="C35" i="39"/>
  <c r="C78" i="39" s="1"/>
  <c r="C79" i="39" s="1"/>
  <c r="V17" i="38"/>
  <c r="B69" i="39"/>
  <c r="B83" i="39" s="1"/>
  <c r="G40" i="20"/>
  <c r="B26" i="38"/>
  <c r="I28" i="38" s="1"/>
  <c r="F36" i="22"/>
  <c r="E36" i="22"/>
  <c r="E40" i="22"/>
  <c r="L12" i="22"/>
  <c r="B13" i="38" s="1"/>
  <c r="F16" i="38" s="1"/>
  <c r="M13" i="38"/>
  <c r="N12" i="38"/>
  <c r="N13" i="38" s="1"/>
  <c r="G36" i="34"/>
  <c r="G40" i="34"/>
  <c r="L13" i="22"/>
  <c r="S38" i="38"/>
  <c r="T39" i="38"/>
  <c r="L40" i="38"/>
  <c r="L42" i="38"/>
  <c r="L44" i="38"/>
  <c r="L41" i="38"/>
  <c r="L43" i="38"/>
  <c r="M39" i="38"/>
  <c r="N38" i="38"/>
  <c r="N39" i="38" s="1"/>
  <c r="H42" i="38"/>
  <c r="H44" i="38"/>
  <c r="H41" i="38"/>
  <c r="H40" i="38"/>
  <c r="H43" i="38"/>
  <c r="U42" i="38"/>
  <c r="U41" i="38"/>
  <c r="U43" i="38"/>
  <c r="U44" i="38"/>
  <c r="U40" i="38"/>
  <c r="U17" i="38"/>
  <c r="U18" i="38"/>
  <c r="U16" i="38"/>
  <c r="U15" i="38"/>
  <c r="U14" i="38"/>
  <c r="G39" i="38"/>
  <c r="F38" i="38"/>
  <c r="F39" i="38" s="1"/>
  <c r="W14" i="38"/>
  <c r="W17" i="38"/>
  <c r="W18" i="38"/>
  <c r="W15" i="38"/>
  <c r="W16" i="38"/>
  <c r="S12" i="38"/>
  <c r="T13" i="38"/>
  <c r="W42" i="38"/>
  <c r="W44" i="38"/>
  <c r="W40" i="38"/>
  <c r="W43" i="38"/>
  <c r="W41" i="38"/>
  <c r="H26" i="38"/>
  <c r="G25" i="38"/>
  <c r="W26" i="38"/>
  <c r="X25" i="38"/>
  <c r="M25" i="38"/>
  <c r="L26" i="38"/>
  <c r="U26" i="38"/>
  <c r="T25" i="38"/>
  <c r="Y38" i="38"/>
  <c r="X39" i="38"/>
  <c r="V29" i="38"/>
  <c r="V30" i="38"/>
  <c r="V28" i="38"/>
  <c r="V31" i="38"/>
  <c r="V27" i="38"/>
  <c r="L18" i="38" l="1"/>
  <c r="X13" i="38"/>
  <c r="X14" i="38" s="1"/>
  <c r="C7" i="40"/>
  <c r="F4" i="40" s="1"/>
  <c r="C24" i="40"/>
  <c r="F21" i="40" s="1"/>
  <c r="F40" i="22"/>
  <c r="J28" i="38"/>
  <c r="J31" i="38"/>
  <c r="J30" i="38"/>
  <c r="J29" i="38"/>
  <c r="J27" i="38"/>
  <c r="I31" i="38"/>
  <c r="K31" i="38"/>
  <c r="K27" i="38"/>
  <c r="H36" i="20"/>
  <c r="H40" i="20"/>
  <c r="K30" i="38"/>
  <c r="I30" i="38"/>
  <c r="I27" i="38"/>
  <c r="I29" i="38"/>
  <c r="K28" i="38"/>
  <c r="K29" i="38"/>
  <c r="K14" i="38"/>
  <c r="I15" i="38"/>
  <c r="H14" i="38"/>
  <c r="H17" i="38"/>
  <c r="K18" i="38"/>
  <c r="M17" i="38"/>
  <c r="I17" i="38"/>
  <c r="K16" i="38"/>
  <c r="J14" i="38"/>
  <c r="F18" i="38"/>
  <c r="L15" i="38"/>
  <c r="J15" i="38"/>
  <c r="G15" i="38"/>
  <c r="K15" i="38"/>
  <c r="J18" i="38"/>
  <c r="L16" i="38"/>
  <c r="J17" i="38"/>
  <c r="H16" i="38"/>
  <c r="I16" i="38"/>
  <c r="J16" i="38"/>
  <c r="N18" i="38"/>
  <c r="G16" i="38"/>
  <c r="N16" i="38"/>
  <c r="I18" i="38"/>
  <c r="F17" i="38"/>
  <c r="F15" i="38"/>
  <c r="H18" i="38"/>
  <c r="L17" i="38"/>
  <c r="F14" i="38"/>
  <c r="G17" i="38"/>
  <c r="H15" i="38"/>
  <c r="I14" i="38"/>
  <c r="G18" i="38"/>
  <c r="K17" i="38"/>
  <c r="L14" i="38"/>
  <c r="G14" i="38"/>
  <c r="N14" i="38"/>
  <c r="N15" i="38"/>
  <c r="M18" i="38"/>
  <c r="M15" i="38"/>
  <c r="M16" i="38"/>
  <c r="M14" i="38"/>
  <c r="N17" i="38"/>
  <c r="G36" i="22"/>
  <c r="G40" i="22"/>
  <c r="N41" i="38"/>
  <c r="N44" i="38"/>
  <c r="N42" i="38"/>
  <c r="N43" i="38"/>
  <c r="N40" i="38"/>
  <c r="Y25" i="38"/>
  <c r="X26" i="38"/>
  <c r="M41" i="38"/>
  <c r="M40" i="38"/>
  <c r="M44" i="38"/>
  <c r="M42" i="38"/>
  <c r="M43" i="38"/>
  <c r="X40" i="38"/>
  <c r="X44" i="38"/>
  <c r="X41" i="38"/>
  <c r="X43" i="38"/>
  <c r="X42" i="38"/>
  <c r="W28" i="38"/>
  <c r="W27" i="38"/>
  <c r="W29" i="38"/>
  <c r="W31" i="38"/>
  <c r="W30" i="38"/>
  <c r="F42" i="38"/>
  <c r="F41" i="38"/>
  <c r="F40" i="38"/>
  <c r="F44" i="38"/>
  <c r="F43" i="38"/>
  <c r="T44" i="38"/>
  <c r="T42" i="38"/>
  <c r="T41" i="38"/>
  <c r="T40" i="38"/>
  <c r="T43" i="38"/>
  <c r="L30" i="38"/>
  <c r="L31" i="38"/>
  <c r="L27" i="38"/>
  <c r="L29" i="38"/>
  <c r="L28" i="38"/>
  <c r="F25" i="38"/>
  <c r="F26" i="38" s="1"/>
  <c r="G26" i="38"/>
  <c r="S13" i="38"/>
  <c r="R12" i="38"/>
  <c r="R13" i="38" s="1"/>
  <c r="R15" i="38" s="1"/>
  <c r="X16" i="38"/>
  <c r="X18" i="38"/>
  <c r="X17" i="38"/>
  <c r="T17" i="38"/>
  <c r="T14" i="38"/>
  <c r="T15" i="38"/>
  <c r="T16" i="38"/>
  <c r="T18" i="38"/>
  <c r="H27" i="38"/>
  <c r="H29" i="38"/>
  <c r="H28" i="38"/>
  <c r="H31" i="38"/>
  <c r="H30" i="38"/>
  <c r="T26" i="38"/>
  <c r="S25" i="38"/>
  <c r="Y13" i="38"/>
  <c r="Z12" i="38"/>
  <c r="Z13" i="38" s="1"/>
  <c r="L14" i="22"/>
  <c r="M26" i="38"/>
  <c r="N25" i="38"/>
  <c r="N26" i="38" s="1"/>
  <c r="Y39" i="38"/>
  <c r="Z38" i="38"/>
  <c r="Z39" i="38" s="1"/>
  <c r="G43" i="38"/>
  <c r="G41" i="38"/>
  <c r="G44" i="38"/>
  <c r="G40" i="38"/>
  <c r="G42" i="38"/>
  <c r="R38" i="38"/>
  <c r="R39" i="38" s="1"/>
  <c r="S39" i="38"/>
  <c r="U31" i="38"/>
  <c r="U28" i="38"/>
  <c r="U30" i="38"/>
  <c r="U27" i="38"/>
  <c r="U29" i="38"/>
  <c r="X15" i="38" l="1"/>
  <c r="H36" i="22"/>
  <c r="H40" i="22"/>
  <c r="N30" i="38"/>
  <c r="N28" i="38"/>
  <c r="N27" i="38"/>
  <c r="N29" i="38"/>
  <c r="N31" i="38"/>
  <c r="F28" i="38"/>
  <c r="F27" i="38"/>
  <c r="F29" i="38"/>
  <c r="F31" i="38"/>
  <c r="F30" i="38"/>
  <c r="Y26" i="38"/>
  <c r="Z25" i="38"/>
  <c r="Z26" i="38" s="1"/>
  <c r="R41" i="38"/>
  <c r="R44" i="38"/>
  <c r="R42" i="38"/>
  <c r="R40" i="38"/>
  <c r="R43" i="38"/>
  <c r="G27" i="38"/>
  <c r="G30" i="38"/>
  <c r="G29" i="38"/>
  <c r="G28" i="38"/>
  <c r="G31" i="38"/>
  <c r="X27" i="38"/>
  <c r="X31" i="38"/>
  <c r="X28" i="38"/>
  <c r="X30" i="38"/>
  <c r="X29" i="38"/>
  <c r="Y15" i="38"/>
  <c r="Y17" i="38"/>
  <c r="Y16" i="38"/>
  <c r="Y14" i="38"/>
  <c r="Y18" i="38"/>
  <c r="M28" i="38"/>
  <c r="M31" i="38"/>
  <c r="M27" i="38"/>
  <c r="M30" i="38"/>
  <c r="M29" i="38"/>
  <c r="Z16" i="38"/>
  <c r="Z18" i="38"/>
  <c r="Z17" i="38"/>
  <c r="Z14" i="38"/>
  <c r="Z15" i="38"/>
  <c r="Z44" i="38"/>
  <c r="Z43" i="38"/>
  <c r="Z41" i="38"/>
  <c r="Z42" i="38"/>
  <c r="Z40" i="38"/>
  <c r="S26" i="38"/>
  <c r="R25" i="38"/>
  <c r="R26" i="38" s="1"/>
  <c r="S18" i="38"/>
  <c r="S14" i="38"/>
  <c r="S15" i="38"/>
  <c r="S17" i="38"/>
  <c r="S16" i="38"/>
  <c r="S40" i="38"/>
  <c r="S43" i="38"/>
  <c r="S44" i="38"/>
  <c r="S41" i="38"/>
  <c r="S42" i="38"/>
  <c r="Y42" i="38"/>
  <c r="Y44" i="38"/>
  <c r="Y41" i="38"/>
  <c r="Y40" i="38"/>
  <c r="Y43" i="38"/>
  <c r="T30" i="38"/>
  <c r="T28" i="38"/>
  <c r="T29" i="38"/>
  <c r="T31" i="38"/>
  <c r="T27" i="38"/>
  <c r="R14" i="38"/>
  <c r="R18" i="38"/>
  <c r="R17" i="38"/>
  <c r="R16" i="38"/>
  <c r="Z30" i="38" l="1"/>
  <c r="Z29" i="38"/>
  <c r="Z27" i="38"/>
  <c r="Z28" i="38"/>
  <c r="Z31" i="38"/>
  <c r="Y27" i="38"/>
  <c r="Y28" i="38"/>
  <c r="Y30" i="38"/>
  <c r="Y29" i="38"/>
  <c r="Y31" i="38"/>
  <c r="S31" i="38"/>
  <c r="S28" i="38"/>
  <c r="S27" i="38"/>
  <c r="S30" i="38"/>
  <c r="S29" i="38"/>
  <c r="R27" i="38"/>
  <c r="R29" i="38"/>
  <c r="R31" i="38"/>
  <c r="R28" i="38"/>
  <c r="R30" i="38"/>
  <c r="F30" i="39" l="1"/>
  <c r="F32" i="39" s="1"/>
  <c r="C40" i="10" l="1"/>
  <c r="C36" i="10"/>
  <c r="B71" i="39"/>
  <c r="B85" i="39" s="1"/>
  <c r="B78" i="39"/>
  <c r="B79" i="39" s="1"/>
  <c r="F71" i="39"/>
  <c r="F35" i="39"/>
  <c r="F78" i="39" s="1"/>
  <c r="F79" i="39" s="1"/>
  <c r="D40" i="2"/>
  <c r="F85" i="39" l="1"/>
  <c r="F72" i="39"/>
  <c r="F86" i="39" s="1"/>
  <c r="D36" i="10"/>
  <c r="D40" i="10"/>
  <c r="B72" i="39"/>
  <c r="B86" i="39" s="1"/>
  <c r="E36" i="10"/>
  <c r="E40" i="10"/>
</calcChain>
</file>

<file path=xl/sharedStrings.xml><?xml version="1.0" encoding="utf-8"?>
<sst xmlns="http://schemas.openxmlformats.org/spreadsheetml/2006/main" count="271" uniqueCount="138">
  <si>
    <t>OOS FS / EASTERN FS</t>
  </si>
  <si>
    <t>2026-27 season</t>
  </si>
  <si>
    <t>Datum opgedateer / Date updated</t>
  </si>
  <si>
    <t>Gewas</t>
  </si>
  <si>
    <t>SAFEX pryse (R/ton)</t>
  </si>
  <si>
    <t>Total deductions (R/ton)</t>
  </si>
  <si>
    <t>Wit Mielies / White Maize- Jul 27</t>
  </si>
  <si>
    <t>Sonneblom / Sunflower- Mei 27</t>
  </si>
  <si>
    <t>Sojabone / Soybeans- Mei 27</t>
  </si>
  <si>
    <t>BT MIELIES / BT MAIZE</t>
  </si>
  <si>
    <t>MIELIES: SENSITIWITEITSANALISE - TOTALE KOSTES ( DIREKTE KOSTE + VASTE KOSTE) R/ton</t>
  </si>
  <si>
    <t>MIELIES: SENSITIWITEITSANALISE - DIREKTE KOSTE R/ton</t>
  </si>
  <si>
    <t>Lopendekoste / Variable cost (R/ha)</t>
  </si>
  <si>
    <t>Huidig</t>
  </si>
  <si>
    <t>Oorhoofse koste / Overhead cost (R/ha)</t>
  </si>
  <si>
    <t>SAFEX prys / price(R/ton)</t>
  </si>
  <si>
    <t>Totale Koste / Total cost (R/ha)</t>
  </si>
  <si>
    <t>Produsenteprys/ Producer price</t>
  </si>
  <si>
    <t>Opbrengs / Yield (t/ha)</t>
  </si>
  <si>
    <t>Gemid Opbrengs / Average Yield (t/ha)</t>
  </si>
  <si>
    <t>SAFEX Jul'27 WM 1 prys/price  (R/ton)</t>
  </si>
  <si>
    <t xml:space="preserve">Aftrekkings / Deductions </t>
  </si>
  <si>
    <t>Produsenteprys/ Producer price (R/ton)</t>
  </si>
  <si>
    <t>SONNEBLOM / SUNFLOWER</t>
  </si>
  <si>
    <t>SONNEBLOM: SENSITIWITEITSANALISE - TOTALE KOSTES ( DIREKTE KOSTE + VASTE KOSTE) R/ton</t>
  </si>
  <si>
    <t>SONNEBLOM: SENSITIWITEITSANALISE - DIREKTE KOSTE R/ton</t>
  </si>
  <si>
    <t>SAFEX Mar'27 Sun prys/price  (R/ton)</t>
  </si>
  <si>
    <t>SOJABONE / SOYBEANS</t>
  </si>
  <si>
    <t>SOJABONE: SENSITIWITEITSANALISE - TOTALE KOSTES ( DIREKTE KOSTE + VASTE KOSTE) R/ton</t>
  </si>
  <si>
    <t>SOJABONE: SENSITIWITEITSANALISE - DIREKTE KOSTE R/ton</t>
  </si>
  <si>
    <t>Huidige</t>
  </si>
  <si>
    <t>SAFEX Mei'27 Soy prys/price  (R/ton)</t>
  </si>
  <si>
    <t>PRODUKSIEJAAR   2026-26                     PRODUCTION YEAR 2026-27</t>
  </si>
  <si>
    <t>Huidige Produkprys op plaas vir beste graad / Current product price for the best grade (R/TON) (Safex min bemarkingskoste/marketing cost)</t>
  </si>
  <si>
    <t>Rand/ton</t>
  </si>
  <si>
    <t>Beplanningsopbrengs / Estimated yields (ton/ha)</t>
  </si>
  <si>
    <t>Bruto produksiewaarde / Gross production value (R/ha)</t>
  </si>
  <si>
    <t>Direk Toedeelbare veranderlike koste / Direct Allocated Variable costs (R/ha)</t>
  </si>
  <si>
    <t>Saad / Seed</t>
  </si>
  <si>
    <t>Kunsmis / Fertiliser</t>
  </si>
  <si>
    <t>Kalk / Lime</t>
  </si>
  <si>
    <t>Brandstof / Fuel</t>
  </si>
  <si>
    <t>Reparasie / Reparation</t>
  </si>
  <si>
    <t>Onkruiddoders / Herbicide</t>
  </si>
  <si>
    <t>Plaagdoder / Pesticides</t>
  </si>
  <si>
    <t>Insetversekering / Input insurance</t>
  </si>
  <si>
    <t>Besproeiingskoste / Irrigation cost</t>
  </si>
  <si>
    <t>Graanprysverskansing / Grain hedging</t>
  </si>
  <si>
    <t>Kontrakstroop / Contract Harvesting</t>
  </si>
  <si>
    <t>Oesversekering / Harvest insurance</t>
  </si>
  <si>
    <t>Lugspuit / Aerial spray</t>
  </si>
  <si>
    <t>Losarbeid / Casual labour</t>
  </si>
  <si>
    <t>Droogkoste / Drying cost</t>
  </si>
  <si>
    <t>Verpakking en Pakmateriaal / Packaging and packaging material</t>
  </si>
  <si>
    <t>Produksiekrediet rente / Interest on production R/ha</t>
  </si>
  <si>
    <t>Totale Direk Toedeelbare veranderlike koste / Total Direct Allocated Variable Cost  (R/ha)</t>
  </si>
  <si>
    <t>Totale Oorhoofse koste / Total overhead cost R/ha</t>
  </si>
  <si>
    <t>Totale Koste per ha voor fisiese bemarking R/ha / Total cost per ha before marketing cost R/ha</t>
  </si>
  <si>
    <t>Totale koste per ton voor fisiese bemarking R/Ton / Total cost per ton before marketing cost R/Ton</t>
  </si>
  <si>
    <t>Totale bemarkingskoste / Total marketing cost R/ton</t>
  </si>
  <si>
    <t>Verwagte minimum Safex prys SONDER wins/ Expected minimum Safex price, WITHOUT profit</t>
  </si>
  <si>
    <t>Huidige Safex prys / Current Safex price</t>
  </si>
  <si>
    <t>BRUTO MARGE / GROSS MARGIN  (R/ha)</t>
  </si>
  <si>
    <t>NETTO MARGE / NETT MARGIN  (R/ha)</t>
  </si>
  <si>
    <t>guarantee and for which Grain SA accepts no liability. Any prices or levels contained herein are preliminary and indicative only and do not</t>
  </si>
  <si>
    <t>represent bids or offers. These indications are provided solely for your information and consideration.</t>
  </si>
  <si>
    <t xml:space="preserve">                                        Thank you to the Maize Trust for partially funding this project</t>
  </si>
  <si>
    <t>Produsent prys raming vir droëland WIT BT MIELIES vir die / Producer price framework for dry land WHITE BT MAIZE for the</t>
  </si>
  <si>
    <t>PRODUKSIEJAAR   2026-27                      PRODUCTION YEAR 2026-27</t>
  </si>
  <si>
    <t>BTMielies</t>
  </si>
  <si>
    <t>Opbrengspeil</t>
  </si>
  <si>
    <t>Lopende koste</t>
  </si>
  <si>
    <t>Oorhoofse koste</t>
  </si>
  <si>
    <t>Produsent prys raming vir BESPROEIING MIELIES vir die  / Producer price framework for IRRIGATION MAIZE for the</t>
  </si>
  <si>
    <t>PRODUKSIEJAAR   2026-27                     PRODUCTION YEAR 2026-27</t>
  </si>
  <si>
    <t>PRODUKSIEJAAR   2026-27                    PRODUCTION YEAR 2026-27</t>
  </si>
  <si>
    <t>Sojabone</t>
  </si>
  <si>
    <t xml:space="preserve">                                                  Thank you to the Maize Trust for partially funding this project</t>
  </si>
  <si>
    <t>Column1</t>
  </si>
  <si>
    <t>Column2</t>
  </si>
  <si>
    <t>Column3</t>
  </si>
  <si>
    <t>Column4</t>
  </si>
  <si>
    <t xml:space="preserve">Crop </t>
  </si>
  <si>
    <t xml:space="preserve">1) INCOME </t>
  </si>
  <si>
    <t>Yellow Maize</t>
  </si>
  <si>
    <t>Yield target (ton/ha)</t>
  </si>
  <si>
    <t>Soybeans</t>
  </si>
  <si>
    <t xml:space="preserve">SAFEX: Estimated Price </t>
  </si>
  <si>
    <t>Sunflowers</t>
  </si>
  <si>
    <t xml:space="preserve">Deductions </t>
  </si>
  <si>
    <t>Net Farm Gate Price</t>
  </si>
  <si>
    <t>GROSS INCOME (R/ha)</t>
  </si>
  <si>
    <t>Note</t>
  </si>
  <si>
    <t>In instances where the average national yield is not estimated, the minimum estimated/ expected yield is used.</t>
  </si>
  <si>
    <t xml:space="preserve">2) VARIABLE EXPENDITURES </t>
  </si>
  <si>
    <t>TOTAL VARIABLE EXPENDITURE (R/ha)</t>
  </si>
  <si>
    <t>TOTAL FIXED COST (R/ha)</t>
  </si>
  <si>
    <t>TOTAL COST (R/ha)</t>
  </si>
  <si>
    <t>3) GROSS MARGIN  (R/ha)</t>
  </si>
  <si>
    <t>4) NETT MARGIN  (R/ha)</t>
  </si>
  <si>
    <t xml:space="preserve">SUMMARY </t>
  </si>
  <si>
    <t>LGO (ton/ha)</t>
  </si>
  <si>
    <t>Net Farm Gate Price (R/ha)</t>
  </si>
  <si>
    <t>Net Farm Gate Price (R/ton)</t>
  </si>
  <si>
    <t xml:space="preserve">2) EXPENDITURES </t>
  </si>
  <si>
    <t>Total variable cost (R/ha)</t>
  </si>
  <si>
    <t>Total variable cost (R/ton)</t>
  </si>
  <si>
    <t>Total variable &amp; fixed expenditure (R/ha)</t>
  </si>
  <si>
    <t>Total variable &amp; fixed expenditure (R/ton)</t>
  </si>
  <si>
    <t>3) MARGIN</t>
  </si>
  <si>
    <t>Gross margin (R/ha)</t>
  </si>
  <si>
    <t>Gross margin (R/ton)</t>
  </si>
  <si>
    <t>Nett margin (R/ha)</t>
  </si>
  <si>
    <t>Net margin (R/ton)</t>
  </si>
  <si>
    <t>BREAK-EVEN &amp; PROFITABILITY (ONLY variable cost)</t>
  </si>
  <si>
    <t>Break-even yields (t/ha)</t>
  </si>
  <si>
    <t>Break-even Safex price (t/ha)</t>
  </si>
  <si>
    <t>BREAK-EVEN &amp; PROFITABILITY (variable &amp; fixed cost)</t>
  </si>
  <si>
    <t>Winsgewendheid: Mielies</t>
  </si>
  <si>
    <t>Pointer</t>
  </si>
  <si>
    <t>Start</t>
  </si>
  <si>
    <t>% NM van tot</t>
  </si>
  <si>
    <t>Veranderlike koste</t>
  </si>
  <si>
    <t>Vaste koste</t>
  </si>
  <si>
    <t>End</t>
  </si>
  <si>
    <t>Totale inkomste</t>
  </si>
  <si>
    <t>Max</t>
  </si>
  <si>
    <t>Totaal</t>
  </si>
  <si>
    <t>Netto Marge</t>
  </si>
  <si>
    <t>Winsgewendheid: Sonneblom</t>
  </si>
  <si>
    <t>Winsgewendheid: Sojabone</t>
  </si>
  <si>
    <r>
      <t>Disclaimer:</t>
    </r>
    <r>
      <rPr>
        <sz val="11"/>
        <rFont val="Aptos"/>
        <family val="2"/>
      </rPr>
      <t xml:space="preserve"> The information herein has been obtained from various sources, the accuracy and/or completeness of which Grain SA does not</t>
    </r>
  </si>
  <si>
    <t>Produsent prys raming vir droëland WIT KONVENSIONELE MIELIES vir die / Producer price framework for dry land WHITE CONVENTIONAL MAIZE for the</t>
  </si>
  <si>
    <t>Produsent prys raming vir droëland SONNEBLOM vir die / Producer price framework for dry land SUNFLOWER for the</t>
  </si>
  <si>
    <t>Produsent prys raming vir droëland SOJABONE vir die / Producer price framework for dry land SOYBEANS for the</t>
  </si>
  <si>
    <r>
      <rPr>
        <b/>
        <sz val="11"/>
        <color indexed="30"/>
        <rFont val="Aptos"/>
        <family val="2"/>
      </rPr>
      <t>EASTERN FREE STATE</t>
    </r>
    <r>
      <rPr>
        <b/>
        <sz val="11"/>
        <color indexed="8"/>
        <rFont val="Aptos"/>
        <family val="2"/>
      </rPr>
      <t xml:space="preserve"> INCOME &amp; COST BUDGETS - SUMMER CROPS 2026/27</t>
    </r>
  </si>
  <si>
    <r>
      <rPr>
        <b/>
        <sz val="11"/>
        <color rgb="FF000000"/>
        <rFont val="Aptos"/>
        <family val="2"/>
      </rPr>
      <t>Disclaimer</t>
    </r>
    <r>
      <rPr>
        <sz val="11"/>
        <color indexed="8"/>
        <rFont val="Aptos"/>
        <family val="2"/>
      </rPr>
      <t>:</t>
    </r>
    <r>
      <rPr>
        <sz val="11"/>
        <rFont val="Aptos"/>
        <family val="2"/>
      </rPr>
      <t xml:space="preserve"> The information herein has been obtained from various sources, the accuracy and/or completeness of which Grain SA does not guarantee and for which Grain SA accepts no liability. Any prices or levels contained herein are preliminary and indicative only and do not represent bids or offers. These indications are provided solely for your information and consideration.</t>
    </r>
  </si>
  <si>
    <t>Free State 5-year average (2020/21-2024/25 production seasons)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</si>
</sst>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3" formatCode="_-* #,##0.00_-;\-* #,##0.00_-;_-* &quot;-&quot;??_-;_-@_-"/>
    <numFmt numFmtId="164" formatCode="_(&quot;$&quot;* #,##0.00_);_(&quot;$&quot;* \(#,##0.00\);_(&quot;$&quot;* &quot;-&quot;??_);_(@_)"/>
    <numFmt numFmtId="165" formatCode="_(* #,##0.00_);_(* \(#,##0.00\);_(* &quot;-&quot;??_);_(@_)"/>
    <numFmt numFmtId="166" formatCode="_ &quot;R&quot;\ * #,##0.00_ ;_ &quot;R&quot;\ * \-#,##0.00_ ;_ &quot;R&quot;\ * &quot;-&quot;??_ ;_ @_ "/>
    <numFmt numFmtId="167" formatCode="_ * #,##0.00_ ;_ * \-#,##0.00_ ;_ * &quot;-&quot;??_ ;_ @_ "/>
    <numFmt numFmtId="168" formatCode="0.00_)"/>
    <numFmt numFmtId="169" formatCode="_ * #,##0.0_ ;_ * \-#,##0.0_ ;_ * &quot;-&quot;?_ ;_ @_ "/>
    <numFmt numFmtId="170" formatCode="_ * #,##0_ ;_ * \-#,##0_ ;_ * &quot;-&quot;??_ ;_ @_ "/>
    <numFmt numFmtId="171" formatCode="0.0"/>
    <numFmt numFmtId="172" formatCode="&quot;R&quot;\ #,##0"/>
    <numFmt numFmtId="173" formatCode="&quot;R&quot;\ #,##0.00"/>
    <numFmt numFmtId="174" formatCode="_ [$R-1C09]\ * #,##0.00_ ;_ [$R-1C09]\ * \-#,##0.00_ ;_ [$R-1C09]\ * &quot;-&quot;??_ ;_ @_ "/>
    <numFmt numFmtId="175" formatCode="_ * #,##0.00_ ;_ * \-#,##0.00_ ;_ * &quot;-&quot;?_ ;_ @_ "/>
    <numFmt numFmtId="176" formatCode="_-[$R-1C09]* #,##0_-;\-[$R-1C09]* #,##0_-;_-[$R-1C09]* &quot;-&quot;??_-;_-@_-"/>
    <numFmt numFmtId="177" formatCode="_-&quot;R&quot;* #,##0_-;\-&quot;R&quot;* #,##0_-;_-&quot;R&quot;* &quot;-&quot;??_-;_-@_-"/>
    <numFmt numFmtId="178" formatCode="[$-F800]dddd\,\ mmmm\ dd\,\ yyyy"/>
  </numFmts>
  <fonts count="39" x14ac:knownFonts="1">
    <font>
      <sz val="10"/>
      <name val="Arial"/>
    </font>
    <font>
      <sz val="11"/>
      <color theme="1"/>
      <name val="Calibri"/>
      <family val="2"/>
      <scheme val="minor"/>
    </font>
    <font>
      <sz val="11"/>
      <color theme="1"/>
      <name val="Calibri"/>
      <family val="2"/>
      <scheme val="minor"/>
    </font>
    <font>
      <b/>
      <sz val="10"/>
      <name val="Arial"/>
      <family val="2"/>
    </font>
    <font>
      <sz val="10"/>
      <name val="Arial"/>
      <family val="2"/>
    </font>
    <font>
      <u/>
      <sz val="10"/>
      <color indexed="12"/>
      <name val="Courier"/>
      <family val="3"/>
    </font>
    <font>
      <b/>
      <sz val="12"/>
      <name val="Arial"/>
      <family val="2"/>
    </font>
    <font>
      <sz val="10"/>
      <name val="Arial"/>
      <family val="2"/>
    </font>
    <font>
      <sz val="8"/>
      <name val="Arial"/>
      <family val="2"/>
    </font>
    <font>
      <sz val="10"/>
      <name val="Segoe UI"/>
      <family val="2"/>
    </font>
    <font>
      <sz val="10"/>
      <name val="Arial Black"/>
      <family val="2"/>
    </font>
    <font>
      <sz val="10"/>
      <name val="Arial"/>
      <family val="2"/>
    </font>
    <font>
      <u/>
      <sz val="7.5"/>
      <color indexed="12"/>
      <name val="Arial"/>
      <family val="2"/>
    </font>
    <font>
      <sz val="11"/>
      <color indexed="8"/>
      <name val="Calibri"/>
      <family val="2"/>
    </font>
    <font>
      <sz val="11"/>
      <name val="Times New Roman"/>
      <family val="1"/>
    </font>
    <font>
      <sz val="10"/>
      <color theme="1"/>
      <name val="Arial"/>
      <family val="2"/>
    </font>
    <font>
      <sz val="11"/>
      <color theme="1"/>
      <name val="Calibri"/>
      <family val="2"/>
      <scheme val="minor"/>
    </font>
    <font>
      <b/>
      <sz val="10"/>
      <color theme="1"/>
      <name val="Arial"/>
      <family val="2"/>
    </font>
    <font>
      <b/>
      <sz val="10"/>
      <color rgb="FFFF0000"/>
      <name val="Arial"/>
      <family val="2"/>
    </font>
    <font>
      <b/>
      <sz val="11"/>
      <color theme="1"/>
      <name val="Calibri"/>
      <family val="2"/>
      <scheme val="minor"/>
    </font>
    <font>
      <b/>
      <sz val="18"/>
      <color rgb="FF00B050"/>
      <name val="Arial"/>
      <family val="2"/>
    </font>
    <font>
      <b/>
      <sz val="11"/>
      <color rgb="FFFF0000"/>
      <name val="Calibri"/>
      <family val="2"/>
      <scheme val="minor"/>
    </font>
    <font>
      <sz val="10"/>
      <name val="Arial"/>
      <family val="2"/>
    </font>
    <font>
      <sz val="14"/>
      <color theme="0"/>
      <name val="Calibri"/>
      <family val="2"/>
      <scheme val="minor"/>
    </font>
    <font>
      <sz val="14"/>
      <color theme="1"/>
      <name val="Calibri"/>
      <family val="2"/>
      <scheme val="minor"/>
    </font>
    <font>
      <b/>
      <sz val="14"/>
      <color theme="0"/>
      <name val="Calibri"/>
      <family val="2"/>
      <scheme val="minor"/>
    </font>
    <font>
      <b/>
      <sz val="11"/>
      <color theme="0"/>
      <name val="Aptos"/>
      <family val="2"/>
    </font>
    <font>
      <b/>
      <sz val="11"/>
      <color indexed="8"/>
      <name val="Aptos"/>
      <family val="2"/>
    </font>
    <font>
      <b/>
      <sz val="11"/>
      <name val="Aptos"/>
      <family val="2"/>
    </font>
    <font>
      <sz val="11"/>
      <name val="Aptos"/>
      <family val="2"/>
    </font>
    <font>
      <sz val="11"/>
      <color theme="0"/>
      <name val="Aptos"/>
      <family val="2"/>
    </font>
    <font>
      <b/>
      <sz val="11"/>
      <color indexed="10"/>
      <name val="Aptos"/>
      <family val="2"/>
    </font>
    <font>
      <sz val="11"/>
      <color rgb="FFFF0000"/>
      <name val="Aptos"/>
      <family val="2"/>
    </font>
    <font>
      <b/>
      <sz val="11"/>
      <color theme="1"/>
      <name val="Aptos"/>
      <family val="2"/>
    </font>
    <font>
      <b/>
      <sz val="11"/>
      <color indexed="30"/>
      <name val="Aptos"/>
      <family val="2"/>
    </font>
    <font>
      <b/>
      <sz val="11"/>
      <color rgb="FFFF0000"/>
      <name val="Aptos"/>
      <family val="2"/>
    </font>
    <font>
      <sz val="11"/>
      <color indexed="8"/>
      <name val="Aptos"/>
      <family val="2"/>
    </font>
    <font>
      <b/>
      <sz val="11"/>
      <color rgb="FF000000"/>
      <name val="Aptos"/>
      <family val="2"/>
    </font>
    <font>
      <b/>
      <i/>
      <sz val="11"/>
      <color rgb="FFFF0000"/>
      <name val="Aptos"/>
      <family val="2"/>
    </font>
  </fonts>
  <fills count="13">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rgb="FFF96FDB"/>
        <bgColor indexed="64"/>
      </patternFill>
    </fill>
    <fill>
      <patternFill patternType="solid">
        <fgColor rgb="FF00B0F0"/>
        <bgColor indexed="64"/>
      </patternFill>
    </fill>
    <fill>
      <patternFill patternType="solid">
        <fgColor theme="0"/>
        <bgColor indexed="64"/>
      </patternFill>
    </fill>
    <fill>
      <patternFill patternType="solid">
        <fgColor theme="0"/>
        <bgColor theme="0"/>
      </patternFill>
    </fill>
    <fill>
      <patternFill patternType="solid">
        <fgColor theme="0" tint="-0.14999847407452621"/>
        <bgColor theme="0"/>
      </patternFill>
    </fill>
    <fill>
      <patternFill patternType="solid">
        <fgColor theme="0" tint="-0.14999847407452621"/>
        <bgColor indexed="9"/>
      </patternFill>
    </fill>
    <fill>
      <patternFill patternType="solid">
        <fgColor rgb="FF3A6367"/>
        <bgColor indexed="64"/>
      </patternFill>
    </fill>
    <fill>
      <patternFill patternType="solid">
        <fgColor rgb="FFAD9244"/>
        <bgColor indexed="64"/>
      </patternFill>
    </fill>
    <fill>
      <patternFill patternType="solid">
        <fgColor theme="4" tint="-0.249977111117893"/>
        <bgColor indexed="64"/>
      </patternFill>
    </fill>
  </fills>
  <borders count="51">
    <border>
      <left/>
      <right/>
      <top/>
      <bottom/>
      <diagonal/>
    </border>
    <border>
      <left/>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bottom style="double">
        <color indexed="64"/>
      </bottom>
      <diagonal/>
    </border>
    <border>
      <left/>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double">
        <color indexed="64"/>
      </top>
      <bottom style="double">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right style="medium">
        <color indexed="64"/>
      </right>
      <top/>
      <bottom style="double">
        <color indexed="64"/>
      </bottom>
      <diagonal/>
    </border>
    <border>
      <left/>
      <right style="medium">
        <color indexed="64"/>
      </right>
      <top style="double">
        <color indexed="64"/>
      </top>
      <bottom style="double">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s>
  <cellStyleXfs count="125">
    <xf numFmtId="0" fontId="0" fillId="0" borderId="0"/>
    <xf numFmtId="167" fontId="4" fillId="0" borderId="0" applyFont="0" applyFill="0" applyBorder="0" applyAlignment="0" applyProtection="0"/>
    <xf numFmtId="167"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16"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4" fontId="4" fillId="0" borderId="0" applyFont="0" applyFill="0" applyBorder="0" applyAlignment="0" applyProtection="0"/>
    <xf numFmtId="166" fontId="16"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4" fillId="0" borderId="0"/>
    <xf numFmtId="0" fontId="8" fillId="0" borderId="0"/>
    <xf numFmtId="0" fontId="8" fillId="0" borderId="0"/>
    <xf numFmtId="0" fontId="8" fillId="0" borderId="0"/>
    <xf numFmtId="0" fontId="4" fillId="0" borderId="0"/>
    <xf numFmtId="0" fontId="4" fillId="0" borderId="0"/>
    <xf numFmtId="0" fontId="9" fillId="0" borderId="0"/>
    <xf numFmtId="0" fontId="8" fillId="0" borderId="0"/>
    <xf numFmtId="0" fontId="15" fillId="0" borderId="0"/>
    <xf numFmtId="0" fontId="15" fillId="0" borderId="0"/>
    <xf numFmtId="0" fontId="4" fillId="0" borderId="0"/>
    <xf numFmtId="0" fontId="15" fillId="0" borderId="0"/>
    <xf numFmtId="0" fontId="15" fillId="0" borderId="0"/>
    <xf numFmtId="0" fontId="14" fillId="0" borderId="0"/>
    <xf numFmtId="0" fontId="4" fillId="0" borderId="0"/>
    <xf numFmtId="0" fontId="4" fillId="0" borderId="0"/>
    <xf numFmtId="0" fontId="16" fillId="0" borderId="0"/>
    <xf numFmtId="0" fontId="15" fillId="0" borderId="0"/>
    <xf numFmtId="0" fontId="15" fillId="0" borderId="0"/>
    <xf numFmtId="0" fontId="4" fillId="0" borderId="0"/>
    <xf numFmtId="0" fontId="15" fillId="0" borderId="0"/>
    <xf numFmtId="0" fontId="15" fillId="0" borderId="0"/>
    <xf numFmtId="0" fontId="4" fillId="0" borderId="0"/>
    <xf numFmtId="0" fontId="15" fillId="0" borderId="0"/>
    <xf numFmtId="0" fontId="15" fillId="0" borderId="0"/>
    <xf numFmtId="0" fontId="4" fillId="0" borderId="0"/>
    <xf numFmtId="0" fontId="16" fillId="0" borderId="0"/>
    <xf numFmtId="0" fontId="8" fillId="0" borderId="0"/>
    <xf numFmtId="0" fontId="8" fillId="0" borderId="0"/>
    <xf numFmtId="0" fontId="16" fillId="0" borderId="0"/>
    <xf numFmtId="0" fontId="4" fillId="0" borderId="0"/>
    <xf numFmtId="0" fontId="8" fillId="0" borderId="0"/>
    <xf numFmtId="0" fontId="8" fillId="0" borderId="0"/>
    <xf numFmtId="0" fontId="9"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6"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6"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0" fontId="2" fillId="0" borderId="0"/>
    <xf numFmtId="9" fontId="22" fillId="0" borderId="0" applyFont="0" applyFill="0" applyBorder="0" applyAlignment="0" applyProtection="0"/>
  </cellStyleXfs>
  <cellXfs count="351">
    <xf numFmtId="0" fontId="0" fillId="0" borderId="0" xfId="0"/>
    <xf numFmtId="0" fontId="4" fillId="0" borderId="0" xfId="67"/>
    <xf numFmtId="0" fontId="4" fillId="0" borderId="11" xfId="67" applyBorder="1" applyAlignment="1">
      <alignment horizontal="center" vertical="center" wrapText="1"/>
    </xf>
    <xf numFmtId="0" fontId="4" fillId="0" borderId="1" xfId="67" applyBorder="1" applyAlignment="1">
      <alignment horizontal="center" vertical="center" wrapText="1"/>
    </xf>
    <xf numFmtId="0" fontId="18" fillId="2" borderId="6" xfId="67" applyFont="1" applyFill="1" applyBorder="1" applyAlignment="1">
      <alignment horizontal="center" vertical="center"/>
    </xf>
    <xf numFmtId="0" fontId="17" fillId="2" borderId="6" xfId="67" applyFont="1" applyFill="1" applyBorder="1" applyAlignment="1">
      <alignment horizontal="center" vertical="center"/>
    </xf>
    <xf numFmtId="0" fontId="18" fillId="2" borderId="1" xfId="67" applyFont="1" applyFill="1" applyBorder="1" applyAlignment="1">
      <alignment horizontal="center" vertical="center"/>
    </xf>
    <xf numFmtId="0" fontId="3" fillId="2" borderId="6" xfId="67" applyFont="1" applyFill="1" applyBorder="1" applyAlignment="1">
      <alignment horizontal="center" vertical="center"/>
    </xf>
    <xf numFmtId="172" fontId="18" fillId="2" borderId="6" xfId="67" applyNumberFormat="1" applyFont="1" applyFill="1" applyBorder="1" applyAlignment="1">
      <alignment horizontal="center" vertical="center"/>
    </xf>
    <xf numFmtId="0" fontId="3" fillId="0" borderId="12" xfId="67" applyFont="1" applyBorder="1" applyAlignment="1">
      <alignment horizontal="center" vertical="center"/>
    </xf>
    <xf numFmtId="172" fontId="18" fillId="0" borderId="12" xfId="67" applyNumberFormat="1" applyFont="1" applyBorder="1" applyAlignment="1">
      <alignment horizontal="center" vertical="center"/>
    </xf>
    <xf numFmtId="0" fontId="18" fillId="0" borderId="12" xfId="67" applyFont="1" applyBorder="1" applyAlignment="1">
      <alignment horizontal="center" vertical="center"/>
    </xf>
    <xf numFmtId="171" fontId="3" fillId="0" borderId="11" xfId="67" applyNumberFormat="1" applyFont="1" applyBorder="1" applyAlignment="1">
      <alignment horizontal="center" vertical="center"/>
    </xf>
    <xf numFmtId="1" fontId="3" fillId="4" borderId="13" xfId="67" applyNumberFormat="1" applyFont="1" applyFill="1" applyBorder="1" applyAlignment="1">
      <alignment horizontal="center" vertical="center"/>
    </xf>
    <xf numFmtId="1" fontId="3" fillId="4" borderId="14" xfId="67" applyNumberFormat="1" applyFont="1" applyFill="1" applyBorder="1" applyAlignment="1">
      <alignment horizontal="center" vertical="center"/>
    </xf>
    <xf numFmtId="1" fontId="3" fillId="5" borderId="14" xfId="67" applyNumberFormat="1" applyFont="1" applyFill="1" applyBorder="1" applyAlignment="1">
      <alignment horizontal="center" vertical="center"/>
    </xf>
    <xf numFmtId="1" fontId="3" fillId="5" borderId="15" xfId="67" applyNumberFormat="1" applyFont="1" applyFill="1" applyBorder="1" applyAlignment="1">
      <alignment horizontal="center" vertical="center"/>
    </xf>
    <xf numFmtId="1" fontId="3" fillId="4" borderId="16" xfId="67" applyNumberFormat="1" applyFont="1" applyFill="1" applyBorder="1" applyAlignment="1">
      <alignment horizontal="center" vertical="center"/>
    </xf>
    <xf numFmtId="1" fontId="3" fillId="4" borderId="17" xfId="67" applyNumberFormat="1" applyFont="1" applyFill="1" applyBorder="1" applyAlignment="1">
      <alignment horizontal="center" vertical="center"/>
    </xf>
    <xf numFmtId="1" fontId="3" fillId="5" borderId="17" xfId="67" applyNumberFormat="1" applyFont="1" applyFill="1" applyBorder="1" applyAlignment="1">
      <alignment horizontal="center" vertical="center"/>
    </xf>
    <xf numFmtId="1" fontId="3" fillId="5" borderId="18" xfId="67" applyNumberFormat="1" applyFont="1" applyFill="1" applyBorder="1" applyAlignment="1">
      <alignment horizontal="center" vertical="center"/>
    </xf>
    <xf numFmtId="171" fontId="18" fillId="0" borderId="11" xfId="67" applyNumberFormat="1" applyFont="1" applyBorder="1" applyAlignment="1">
      <alignment horizontal="center" vertical="center"/>
    </xf>
    <xf numFmtId="1" fontId="3" fillId="4" borderId="19" xfId="67" applyNumberFormat="1" applyFont="1" applyFill="1" applyBorder="1" applyAlignment="1">
      <alignment horizontal="center" vertical="center"/>
    </xf>
    <xf numFmtId="1" fontId="3" fillId="4" borderId="20" xfId="67" applyNumberFormat="1" applyFont="1" applyFill="1" applyBorder="1" applyAlignment="1">
      <alignment horizontal="center" vertical="center"/>
    </xf>
    <xf numFmtId="1" fontId="3" fillId="5" borderId="20" xfId="67" applyNumberFormat="1" applyFont="1" applyFill="1" applyBorder="1" applyAlignment="1">
      <alignment horizontal="center" vertical="center"/>
    </xf>
    <xf numFmtId="1" fontId="3" fillId="5" borderId="21" xfId="67" applyNumberFormat="1" applyFont="1" applyFill="1" applyBorder="1" applyAlignment="1">
      <alignment horizontal="center" vertical="center"/>
    </xf>
    <xf numFmtId="0" fontId="10" fillId="0" borderId="0" xfId="67" applyFont="1" applyAlignment="1">
      <alignment horizontal="center" vertical="center" textRotation="90" wrapText="1"/>
    </xf>
    <xf numFmtId="171" fontId="10" fillId="0" borderId="0" xfId="67" applyNumberFormat="1" applyFont="1" applyAlignment="1">
      <alignment horizontal="center" vertical="center"/>
    </xf>
    <xf numFmtId="1" fontId="10" fillId="0" borderId="0" xfId="67" applyNumberFormat="1" applyFont="1" applyAlignment="1">
      <alignment horizontal="center" vertical="center"/>
    </xf>
    <xf numFmtId="170" fontId="3" fillId="2" borderId="6" xfId="67" applyNumberFormat="1" applyFont="1" applyFill="1" applyBorder="1" applyAlignment="1">
      <alignment horizontal="center" vertical="center"/>
    </xf>
    <xf numFmtId="170" fontId="17" fillId="2" borderId="6" xfId="67" applyNumberFormat="1" applyFont="1" applyFill="1" applyBorder="1" applyAlignment="1">
      <alignment horizontal="center" vertical="center"/>
    </xf>
    <xf numFmtId="170" fontId="18" fillId="2" borderId="6" xfId="67" applyNumberFormat="1" applyFont="1" applyFill="1" applyBorder="1" applyAlignment="1">
      <alignment horizontal="center" vertical="center"/>
    </xf>
    <xf numFmtId="170" fontId="17" fillId="0" borderId="12" xfId="67" applyNumberFormat="1" applyFont="1" applyBorder="1" applyAlignment="1">
      <alignment horizontal="center" vertical="center"/>
    </xf>
    <xf numFmtId="170" fontId="18" fillId="0" borderId="12" xfId="67" applyNumberFormat="1" applyFont="1" applyBorder="1" applyAlignment="1">
      <alignment horizontal="center" vertical="center"/>
    </xf>
    <xf numFmtId="170" fontId="3" fillId="0" borderId="12" xfId="67" applyNumberFormat="1" applyFont="1" applyBorder="1" applyAlignment="1">
      <alignment horizontal="center" vertical="center"/>
    </xf>
    <xf numFmtId="0" fontId="4" fillId="6" borderId="0" xfId="67" applyFill="1"/>
    <xf numFmtId="0" fontId="4" fillId="6" borderId="0" xfId="32" applyFill="1"/>
    <xf numFmtId="171" fontId="4" fillId="6" borderId="0" xfId="32" applyNumberFormat="1" applyFill="1" applyAlignment="1">
      <alignment horizontal="center"/>
    </xf>
    <xf numFmtId="0" fontId="6" fillId="6" borderId="0" xfId="67" applyFont="1" applyFill="1"/>
    <xf numFmtId="3" fontId="4" fillId="6" borderId="0" xfId="32" applyNumberFormat="1" applyFill="1"/>
    <xf numFmtId="0" fontId="19" fillId="6" borderId="0" xfId="32" applyFont="1" applyFill="1"/>
    <xf numFmtId="0" fontId="20" fillId="6" borderId="0" xfId="67" applyFont="1" applyFill="1"/>
    <xf numFmtId="0" fontId="4" fillId="6" borderId="0" xfId="37" applyFill="1"/>
    <xf numFmtId="167" fontId="4" fillId="6" borderId="0" xfId="67" applyNumberFormat="1" applyFill="1" applyAlignment="1">
      <alignment horizontal="right"/>
    </xf>
    <xf numFmtId="173" fontId="4" fillId="6" borderId="0" xfId="67" applyNumberFormat="1" applyFill="1" applyAlignment="1">
      <alignment horizontal="right"/>
    </xf>
    <xf numFmtId="0" fontId="19" fillId="6" borderId="36" xfId="32" applyFont="1" applyFill="1" applyBorder="1"/>
    <xf numFmtId="0" fontId="19" fillId="6" borderId="36" xfId="37" applyFont="1" applyFill="1" applyBorder="1" applyAlignment="1">
      <alignment horizontal="center" wrapText="1"/>
    </xf>
    <xf numFmtId="0" fontId="4" fillId="6" borderId="0" xfId="67" applyFill="1" applyAlignment="1">
      <alignment horizontal="left" vertical="center"/>
    </xf>
    <xf numFmtId="0" fontId="3" fillId="6" borderId="0" xfId="67" applyFont="1" applyFill="1" applyAlignment="1">
      <alignment horizontal="left" vertical="center"/>
    </xf>
    <xf numFmtId="0" fontId="4" fillId="6" borderId="0" xfId="67" applyFill="1" applyAlignment="1">
      <alignment horizontal="left" vertical="center" wrapText="1"/>
    </xf>
    <xf numFmtId="0" fontId="3" fillId="6" borderId="0" xfId="67" applyFont="1" applyFill="1" applyAlignment="1">
      <alignment horizontal="left" vertical="center" wrapText="1"/>
    </xf>
    <xf numFmtId="0" fontId="3" fillId="6" borderId="39" xfId="0" applyFont="1" applyFill="1" applyBorder="1" applyAlignment="1" applyProtection="1">
      <alignment horizontal="left" wrapText="1"/>
      <protection hidden="1"/>
    </xf>
    <xf numFmtId="173" fontId="3" fillId="6" borderId="28" xfId="67" applyNumberFormat="1" applyFont="1" applyFill="1" applyBorder="1" applyAlignment="1">
      <alignment horizontal="right"/>
    </xf>
    <xf numFmtId="0" fontId="2" fillId="0" borderId="0" xfId="123"/>
    <xf numFmtId="2" fontId="18" fillId="0" borderId="11" xfId="67" applyNumberFormat="1" applyFont="1" applyBorder="1" applyAlignment="1">
      <alignment horizontal="center" vertical="center"/>
    </xf>
    <xf numFmtId="171" fontId="3" fillId="5" borderId="17" xfId="67" applyNumberFormat="1" applyFont="1" applyFill="1" applyBorder="1" applyAlignment="1">
      <alignment horizontal="center" vertical="center"/>
    </xf>
    <xf numFmtId="0" fontId="1" fillId="6" borderId="0" xfId="0" applyFont="1" applyFill="1"/>
    <xf numFmtId="0" fontId="24" fillId="0" borderId="22" xfId="123" applyFont="1" applyBorder="1"/>
    <xf numFmtId="0" fontId="24" fillId="0" borderId="0" xfId="123" applyFont="1"/>
    <xf numFmtId="0" fontId="24" fillId="0" borderId="10" xfId="123" applyFont="1" applyBorder="1"/>
    <xf numFmtId="1" fontId="24" fillId="0" borderId="10" xfId="123" applyNumberFormat="1" applyFont="1" applyBorder="1"/>
    <xf numFmtId="1" fontId="24" fillId="0" borderId="0" xfId="123" applyNumberFormat="1" applyFont="1"/>
    <xf numFmtId="0" fontId="24" fillId="0" borderId="5" xfId="123" applyFont="1" applyBorder="1"/>
    <xf numFmtId="1" fontId="24" fillId="0" borderId="4" xfId="123" applyNumberFormat="1" applyFont="1" applyBorder="1"/>
    <xf numFmtId="0" fontId="24" fillId="0" borderId="2" xfId="123" applyFont="1" applyBorder="1"/>
    <xf numFmtId="0" fontId="24" fillId="0" borderId="4" xfId="123" applyFont="1" applyBorder="1"/>
    <xf numFmtId="1" fontId="24" fillId="0" borderId="2" xfId="123" applyNumberFormat="1" applyFont="1" applyBorder="1"/>
    <xf numFmtId="0" fontId="3" fillId="6" borderId="0" xfId="67" applyFont="1" applyFill="1" applyAlignment="1">
      <alignment horizontal="right"/>
    </xf>
    <xf numFmtId="0" fontId="4" fillId="6" borderId="0" xfId="67" applyFill="1" applyAlignment="1">
      <alignment horizontal="right"/>
    </xf>
    <xf numFmtId="0" fontId="19" fillId="6" borderId="36" xfId="32" applyFont="1" applyFill="1" applyBorder="1" applyAlignment="1">
      <alignment horizontal="right"/>
    </xf>
    <xf numFmtId="172" fontId="21" fillId="6" borderId="0" xfId="32" applyNumberFormat="1" applyFont="1" applyFill="1" applyAlignment="1" applyProtection="1">
      <alignment horizontal="right"/>
      <protection locked="0"/>
    </xf>
    <xf numFmtId="0" fontId="4" fillId="6" borderId="0" xfId="67" applyFill="1" applyAlignment="1" applyProtection="1">
      <alignment horizontal="right"/>
      <protection locked="0"/>
    </xf>
    <xf numFmtId="172" fontId="21" fillId="6" borderId="0" xfId="37" applyNumberFormat="1" applyFont="1" applyFill="1" applyAlignment="1" applyProtection="1">
      <alignment horizontal="right"/>
      <protection locked="0"/>
    </xf>
    <xf numFmtId="172" fontId="19" fillId="6" borderId="0" xfId="32" applyNumberFormat="1" applyFont="1" applyFill="1" applyAlignment="1">
      <alignment horizontal="right"/>
    </xf>
    <xf numFmtId="0" fontId="3" fillId="6" borderId="39" xfId="0" applyFont="1" applyFill="1" applyBorder="1" applyAlignment="1" applyProtection="1">
      <alignment horizontal="right" wrapText="1"/>
      <protection hidden="1"/>
    </xf>
    <xf numFmtId="14" fontId="3" fillId="6" borderId="0" xfId="67" applyNumberFormat="1" applyFont="1" applyFill="1" applyAlignment="1">
      <alignment horizontal="right"/>
    </xf>
    <xf numFmtId="167" fontId="3" fillId="6" borderId="0" xfId="67" applyNumberFormat="1" applyFont="1" applyFill="1" applyAlignment="1">
      <alignment horizontal="right"/>
    </xf>
    <xf numFmtId="167" fontId="18" fillId="6" borderId="0" xfId="67" applyNumberFormat="1" applyFont="1" applyFill="1" applyAlignment="1" applyProtection="1">
      <alignment horizontal="right"/>
      <protection locked="0"/>
    </xf>
    <xf numFmtId="167" fontId="4" fillId="6" borderId="0" xfId="67" applyNumberFormat="1" applyFill="1" applyAlignment="1">
      <alignment horizontal="right" vertical="center"/>
    </xf>
    <xf numFmtId="0" fontId="3" fillId="6" borderId="0" xfId="67" applyFont="1" applyFill="1" applyAlignment="1">
      <alignment horizontal="right" vertical="center"/>
    </xf>
    <xf numFmtId="0" fontId="4" fillId="6" borderId="0" xfId="67" applyFill="1" applyAlignment="1">
      <alignment horizontal="right" vertical="center"/>
    </xf>
    <xf numFmtId="2" fontId="4" fillId="6" borderId="0" xfId="67" applyNumberFormat="1" applyFill="1" applyAlignment="1">
      <alignment horizontal="right" vertical="center"/>
    </xf>
    <xf numFmtId="167" fontId="4" fillId="6" borderId="0" xfId="67" applyNumberFormat="1" applyFill="1" applyAlignment="1">
      <alignment horizontal="right" vertical="center" wrapText="1"/>
    </xf>
    <xf numFmtId="0" fontId="4" fillId="6" borderId="0" xfId="67" applyFill="1" applyAlignment="1">
      <alignment horizontal="center"/>
    </xf>
    <xf numFmtId="0" fontId="4" fillId="0" borderId="0" xfId="67" applyAlignment="1">
      <alignment horizontal="center"/>
    </xf>
    <xf numFmtId="177" fontId="27" fillId="2" borderId="41" xfId="0" applyNumberFormat="1" applyFont="1" applyFill="1" applyBorder="1"/>
    <xf numFmtId="177" fontId="27" fillId="2" borderId="27" xfId="0" applyNumberFormat="1" applyFont="1" applyFill="1" applyBorder="1"/>
    <xf numFmtId="177" fontId="27" fillId="2" borderId="42" xfId="0" applyNumberFormat="1" applyFont="1" applyFill="1" applyBorder="1"/>
    <xf numFmtId="177" fontId="27" fillId="2" borderId="9" xfId="0" applyNumberFormat="1" applyFont="1" applyFill="1" applyBorder="1"/>
    <xf numFmtId="177" fontId="27" fillId="2" borderId="0" xfId="0" applyNumberFormat="1" applyFont="1" applyFill="1"/>
    <xf numFmtId="177" fontId="27" fillId="2" borderId="10" xfId="0" applyNumberFormat="1" applyFont="1" applyFill="1" applyBorder="1"/>
    <xf numFmtId="0" fontId="28" fillId="6" borderId="29" xfId="32" applyFont="1" applyFill="1" applyBorder="1" applyAlignment="1">
      <alignment vertical="center"/>
    </xf>
    <xf numFmtId="0" fontId="29" fillId="6" borderId="22" xfId="32" applyFont="1" applyFill="1" applyBorder="1" applyAlignment="1">
      <alignment vertical="center"/>
    </xf>
    <xf numFmtId="0" fontId="29" fillId="6" borderId="5" xfId="32" applyFont="1" applyFill="1" applyBorder="1" applyAlignment="1">
      <alignment vertical="center"/>
    </xf>
    <xf numFmtId="0" fontId="28" fillId="10" borderId="1" xfId="0" applyFont="1" applyFill="1" applyBorder="1" applyProtection="1">
      <protection hidden="1"/>
    </xf>
    <xf numFmtId="0" fontId="28" fillId="10" borderId="3" xfId="0" applyFont="1" applyFill="1" applyBorder="1" applyProtection="1">
      <protection hidden="1"/>
    </xf>
    <xf numFmtId="0" fontId="29" fillId="0" borderId="0" xfId="0" applyFont="1" applyProtection="1">
      <protection hidden="1"/>
    </xf>
    <xf numFmtId="0" fontId="28" fillId="0" borderId="5" xfId="0" applyFont="1" applyBorder="1" applyAlignment="1" applyProtection="1">
      <alignment horizontal="left"/>
      <protection hidden="1"/>
    </xf>
    <xf numFmtId="0" fontId="28" fillId="0" borderId="4" xfId="0" applyFont="1" applyBorder="1" applyAlignment="1" applyProtection="1">
      <alignment horizontal="left"/>
      <protection hidden="1"/>
    </xf>
    <xf numFmtId="0" fontId="29" fillId="0" borderId="4" xfId="0" applyFont="1" applyBorder="1" applyProtection="1">
      <protection hidden="1"/>
    </xf>
    <xf numFmtId="0" fontId="29" fillId="0" borderId="2" xfId="0" applyFont="1" applyBorder="1" applyProtection="1">
      <protection hidden="1"/>
    </xf>
    <xf numFmtId="0" fontId="28" fillId="11" borderId="1" xfId="0" applyFont="1" applyFill="1" applyBorder="1" applyProtection="1">
      <protection hidden="1"/>
    </xf>
    <xf numFmtId="177" fontId="28" fillId="11" borderId="1" xfId="0" applyNumberFormat="1" applyFont="1" applyFill="1" applyBorder="1" applyAlignment="1" applyProtection="1">
      <alignment horizontal="left"/>
      <protection hidden="1"/>
    </xf>
    <xf numFmtId="0" fontId="29" fillId="11" borderId="1" xfId="0" applyFont="1" applyFill="1" applyBorder="1" applyProtection="1">
      <protection hidden="1"/>
    </xf>
    <xf numFmtId="0" fontId="29" fillId="11" borderId="3" xfId="0" applyFont="1" applyFill="1" applyBorder="1" applyProtection="1">
      <protection hidden="1"/>
    </xf>
    <xf numFmtId="0" fontId="28" fillId="0" borderId="11" xfId="0" applyFont="1" applyBorder="1" applyAlignment="1" applyProtection="1">
      <alignment horizontal="left"/>
      <protection hidden="1"/>
    </xf>
    <xf numFmtId="0" fontId="28" fillId="0" borderId="1" xfId="0" applyFont="1" applyBorder="1" applyAlignment="1" applyProtection="1">
      <alignment horizontal="left"/>
      <protection hidden="1"/>
    </xf>
    <xf numFmtId="0" fontId="28" fillId="0" borderId="1" xfId="0" applyFont="1" applyBorder="1" applyAlignment="1" applyProtection="1">
      <alignment horizontal="centerContinuous"/>
      <protection hidden="1"/>
    </xf>
    <xf numFmtId="0" fontId="29" fillId="0" borderId="1" xfId="0" applyFont="1" applyBorder="1" applyAlignment="1" applyProtection="1">
      <alignment horizontal="centerContinuous"/>
      <protection hidden="1"/>
    </xf>
    <xf numFmtId="0" fontId="31" fillId="0" borderId="1" xfId="0" applyFont="1" applyBorder="1" applyProtection="1">
      <protection hidden="1"/>
    </xf>
    <xf numFmtId="0" fontId="29" fillId="0" borderId="3" xfId="0" applyFont="1" applyBorder="1" applyProtection="1">
      <protection hidden="1"/>
    </xf>
    <xf numFmtId="0" fontId="28" fillId="0" borderId="11" xfId="32" applyFont="1" applyBorder="1" applyAlignment="1" applyProtection="1">
      <alignment horizontal="left"/>
      <protection hidden="1"/>
    </xf>
    <xf numFmtId="169" fontId="28" fillId="2" borderId="6" xfId="76" applyNumberFormat="1" applyFont="1" applyFill="1" applyBorder="1" applyProtection="1">
      <protection hidden="1"/>
    </xf>
    <xf numFmtId="0" fontId="28" fillId="11" borderId="11" xfId="32" applyFont="1" applyFill="1" applyBorder="1" applyAlignment="1" applyProtection="1">
      <alignment horizontal="left"/>
      <protection hidden="1"/>
    </xf>
    <xf numFmtId="0" fontId="28" fillId="11" borderId="1" xfId="0" applyFont="1" applyFill="1" applyBorder="1" applyAlignment="1" applyProtection="1">
      <alignment horizontal="left"/>
      <protection hidden="1"/>
    </xf>
    <xf numFmtId="168" fontId="28" fillId="11" borderId="3" xfId="0" applyNumberFormat="1" applyFont="1" applyFill="1" applyBorder="1" applyAlignment="1" applyProtection="1">
      <alignment horizontal="left"/>
      <protection hidden="1"/>
    </xf>
    <xf numFmtId="177" fontId="28" fillId="11" borderId="6" xfId="0" applyNumberFormat="1" applyFont="1" applyFill="1" applyBorder="1" applyAlignment="1" applyProtection="1">
      <alignment horizontal="right"/>
      <protection hidden="1"/>
    </xf>
    <xf numFmtId="0" fontId="28" fillId="0" borderId="22" xfId="0" applyFont="1" applyBorder="1" applyAlignment="1" applyProtection="1">
      <alignment horizontal="left"/>
      <protection hidden="1"/>
    </xf>
    <xf numFmtId="0" fontId="28" fillId="0" borderId="0" xfId="0" applyFont="1" applyAlignment="1" applyProtection="1">
      <alignment horizontal="left"/>
      <protection hidden="1"/>
    </xf>
    <xf numFmtId="177" fontId="28" fillId="2" borderId="6" xfId="0" applyNumberFormat="1" applyFont="1" applyFill="1" applyBorder="1" applyAlignment="1" applyProtection="1">
      <alignment horizontal="right"/>
      <protection hidden="1"/>
    </xf>
    <xf numFmtId="177" fontId="29" fillId="10" borderId="6" xfId="0" applyNumberFormat="1" applyFont="1" applyFill="1" applyBorder="1" applyProtection="1">
      <protection hidden="1"/>
    </xf>
    <xf numFmtId="0" fontId="28" fillId="0" borderId="27" xfId="32" applyFont="1" applyBorder="1" applyAlignment="1" applyProtection="1">
      <alignment horizontal="left"/>
      <protection hidden="1"/>
    </xf>
    <xf numFmtId="177" fontId="28" fillId="0" borderId="7" xfId="76" applyNumberFormat="1" applyFont="1" applyBorder="1" applyProtection="1">
      <protection hidden="1"/>
    </xf>
    <xf numFmtId="0" fontId="28" fillId="0" borderId="28" xfId="32" applyFont="1" applyBorder="1" applyAlignment="1" applyProtection="1">
      <alignment horizontal="left"/>
      <protection hidden="1"/>
    </xf>
    <xf numFmtId="177" fontId="28" fillId="0" borderId="8" xfId="76" applyNumberFormat="1" applyFont="1" applyBorder="1" applyProtection="1">
      <protection hidden="1"/>
    </xf>
    <xf numFmtId="177" fontId="28" fillId="11" borderId="6" xfId="0" applyNumberFormat="1" applyFont="1" applyFill="1" applyBorder="1" applyProtection="1">
      <protection hidden="1"/>
    </xf>
    <xf numFmtId="0" fontId="28" fillId="2" borderId="22" xfId="32" applyFont="1" applyFill="1" applyBorder="1" applyAlignment="1" applyProtection="1">
      <alignment horizontal="left"/>
      <protection hidden="1"/>
    </xf>
    <xf numFmtId="0" fontId="28" fillId="2" borderId="0" xfId="32" applyFont="1" applyFill="1" applyAlignment="1" applyProtection="1">
      <alignment horizontal="left"/>
      <protection hidden="1"/>
    </xf>
    <xf numFmtId="177" fontId="28" fillId="2" borderId="9" xfId="0" applyNumberFormat="1" applyFont="1" applyFill="1" applyBorder="1" applyProtection="1">
      <protection hidden="1"/>
    </xf>
    <xf numFmtId="177" fontId="28" fillId="11" borderId="6" xfId="76" applyNumberFormat="1" applyFont="1" applyFill="1" applyBorder="1" applyProtection="1">
      <protection hidden="1"/>
    </xf>
    <xf numFmtId="0" fontId="28" fillId="0" borderId="22" xfId="32" applyFont="1" applyBorder="1" applyAlignment="1" applyProtection="1">
      <alignment horizontal="left"/>
      <protection hidden="1"/>
    </xf>
    <xf numFmtId="0" fontId="28" fillId="0" borderId="0" xfId="32" applyFont="1" applyAlignment="1" applyProtection="1">
      <alignment horizontal="left"/>
      <protection hidden="1"/>
    </xf>
    <xf numFmtId="177" fontId="28" fillId="0" borderId="9" xfId="0" applyNumberFormat="1" applyFont="1" applyBorder="1" applyProtection="1">
      <protection hidden="1"/>
    </xf>
    <xf numFmtId="0" fontId="29" fillId="0" borderId="0" xfId="0" applyFont="1"/>
    <xf numFmtId="0" fontId="28" fillId="11" borderId="11" xfId="0" applyFont="1" applyFill="1" applyBorder="1" applyAlignment="1" applyProtection="1">
      <alignment horizontal="left"/>
      <protection hidden="1"/>
    </xf>
    <xf numFmtId="177" fontId="26" fillId="10" borderId="6" xfId="0" applyNumberFormat="1" applyFont="1" applyFill="1" applyBorder="1" applyProtection="1">
      <protection hidden="1"/>
    </xf>
    <xf numFmtId="0" fontId="26" fillId="10" borderId="11" xfId="0" applyFont="1" applyFill="1" applyBorder="1" applyAlignment="1" applyProtection="1">
      <alignment horizontal="left"/>
      <protection hidden="1"/>
    </xf>
    <xf numFmtId="0" fontId="26" fillId="10" borderId="1" xfId="0" applyFont="1" applyFill="1" applyBorder="1" applyAlignment="1" applyProtection="1">
      <alignment horizontal="left"/>
      <protection hidden="1"/>
    </xf>
    <xf numFmtId="0" fontId="30" fillId="10" borderId="3" xfId="0" applyFont="1" applyFill="1" applyBorder="1" applyProtection="1">
      <protection hidden="1"/>
    </xf>
    <xf numFmtId="177" fontId="29" fillId="0" borderId="0" xfId="0" applyNumberFormat="1" applyFont="1" applyProtection="1">
      <protection hidden="1"/>
    </xf>
    <xf numFmtId="0" fontId="29" fillId="6" borderId="24" xfId="32" applyFont="1" applyFill="1" applyBorder="1" applyProtection="1">
      <protection hidden="1"/>
    </xf>
    <xf numFmtId="0" fontId="29" fillId="6" borderId="23" xfId="32" applyFont="1" applyFill="1" applyBorder="1"/>
    <xf numFmtId="0" fontId="29" fillId="0" borderId="0" xfId="32" applyFont="1"/>
    <xf numFmtId="0" fontId="29" fillId="6" borderId="0" xfId="32" applyFont="1" applyFill="1" applyProtection="1">
      <protection hidden="1"/>
    </xf>
    <xf numFmtId="0" fontId="29" fillId="6" borderId="10" xfId="32" applyFont="1" applyFill="1" applyBorder="1"/>
    <xf numFmtId="0" fontId="29" fillId="6" borderId="4" xfId="32" applyFont="1" applyFill="1" applyBorder="1" applyProtection="1">
      <protection hidden="1"/>
    </xf>
    <xf numFmtId="0" fontId="29" fillId="6" borderId="2" xfId="32" applyFont="1" applyFill="1" applyBorder="1"/>
    <xf numFmtId="0" fontId="28" fillId="0" borderId="26" xfId="32" applyFont="1" applyBorder="1" applyAlignment="1" applyProtection="1">
      <alignment horizontal="left"/>
      <protection hidden="1"/>
    </xf>
    <xf numFmtId="0" fontId="28" fillId="0" borderId="25" xfId="32" applyFont="1" applyBorder="1" applyAlignment="1" applyProtection="1">
      <alignment horizontal="left"/>
      <protection hidden="1"/>
    </xf>
    <xf numFmtId="0" fontId="26" fillId="10" borderId="11" xfId="32" applyFont="1" applyFill="1" applyBorder="1" applyAlignment="1" applyProtection="1">
      <alignment horizontal="left" vertical="top" wrapText="1"/>
      <protection hidden="1"/>
    </xf>
    <xf numFmtId="0" fontId="30" fillId="10" borderId="1" xfId="32" applyFont="1" applyFill="1" applyBorder="1" applyAlignment="1">
      <alignment horizontal="left" vertical="top" wrapText="1"/>
    </xf>
    <xf numFmtId="169" fontId="28" fillId="0" borderId="0" xfId="0" applyNumberFormat="1" applyFont="1" applyProtection="1">
      <protection hidden="1"/>
    </xf>
    <xf numFmtId="167" fontId="28" fillId="0" borderId="0" xfId="0" applyNumberFormat="1" applyFont="1" applyAlignment="1" applyProtection="1">
      <alignment horizontal="right"/>
      <protection hidden="1"/>
    </xf>
    <xf numFmtId="0" fontId="32" fillId="0" borderId="0" xfId="48" applyFont="1"/>
    <xf numFmtId="0" fontId="28" fillId="0" borderId="17" xfId="32" applyFont="1" applyBorder="1" applyAlignment="1" applyProtection="1">
      <alignment horizontal="left"/>
      <protection hidden="1"/>
    </xf>
    <xf numFmtId="177" fontId="28" fillId="0" borderId="49" xfId="76" applyNumberFormat="1" applyFont="1" applyBorder="1" applyProtection="1">
      <protection hidden="1"/>
    </xf>
    <xf numFmtId="167" fontId="32" fillId="0" borderId="0" xfId="48" applyNumberFormat="1" applyFont="1"/>
    <xf numFmtId="177" fontId="28" fillId="0" borderId="50" xfId="76" applyNumberFormat="1" applyFont="1" applyBorder="1" applyProtection="1">
      <protection hidden="1"/>
    </xf>
    <xf numFmtId="167" fontId="28" fillId="0" borderId="0" xfId="0" applyNumberFormat="1" applyFont="1" applyProtection="1">
      <protection hidden="1"/>
    </xf>
    <xf numFmtId="167" fontId="29" fillId="0" borderId="0" xfId="0" applyNumberFormat="1" applyFont="1" applyProtection="1">
      <protection hidden="1"/>
    </xf>
    <xf numFmtId="177" fontId="28" fillId="11" borderId="3" xfId="0" applyNumberFormat="1" applyFont="1" applyFill="1" applyBorder="1" applyProtection="1">
      <protection hidden="1"/>
    </xf>
    <xf numFmtId="0" fontId="30" fillId="0" borderId="0" xfId="0" applyFont="1" applyProtection="1">
      <protection hidden="1"/>
    </xf>
    <xf numFmtId="177" fontId="30" fillId="0" borderId="0" xfId="0" applyNumberFormat="1" applyFont="1" applyProtection="1">
      <protection hidden="1"/>
    </xf>
    <xf numFmtId="0" fontId="28" fillId="2" borderId="29" xfId="32" applyFont="1" applyFill="1" applyBorder="1" applyAlignment="1">
      <alignment vertical="center"/>
    </xf>
    <xf numFmtId="0" fontId="29" fillId="2" borderId="24" xfId="32" applyFont="1" applyFill="1" applyBorder="1" applyProtection="1">
      <protection hidden="1"/>
    </xf>
    <xf numFmtId="0" fontId="29" fillId="2" borderId="22" xfId="32" applyFont="1" applyFill="1" applyBorder="1" applyAlignment="1">
      <alignment vertical="center"/>
    </xf>
    <xf numFmtId="0" fontId="29" fillId="2" borderId="0" xfId="32" applyFont="1" applyFill="1" applyProtection="1">
      <protection hidden="1"/>
    </xf>
    <xf numFmtId="0" fontId="29" fillId="2" borderId="5" xfId="32" applyFont="1" applyFill="1" applyBorder="1" applyAlignment="1">
      <alignment vertical="center"/>
    </xf>
    <xf numFmtId="0" fontId="29" fillId="2" borderId="4" xfId="32" applyFont="1" applyFill="1" applyBorder="1" applyProtection="1">
      <protection hidden="1"/>
    </xf>
    <xf numFmtId="0" fontId="26" fillId="10" borderId="11" xfId="32" applyFont="1" applyFill="1" applyBorder="1" applyAlignment="1" applyProtection="1">
      <alignment vertical="top" wrapText="1"/>
      <protection hidden="1"/>
    </xf>
    <xf numFmtId="0" fontId="30" fillId="10" borderId="1" xfId="32" applyFont="1" applyFill="1" applyBorder="1" applyAlignment="1">
      <alignment vertical="top" wrapText="1"/>
    </xf>
    <xf numFmtId="0" fontId="28" fillId="0" borderId="1" xfId="32" applyFont="1" applyBorder="1" applyAlignment="1" applyProtection="1">
      <alignment horizontal="left"/>
      <protection hidden="1"/>
    </xf>
    <xf numFmtId="169" fontId="28" fillId="2" borderId="6" xfId="0" applyNumberFormat="1" applyFont="1" applyFill="1" applyBorder="1" applyProtection="1">
      <protection hidden="1"/>
    </xf>
    <xf numFmtId="0" fontId="28" fillId="11" borderId="1" xfId="32" applyFont="1" applyFill="1" applyBorder="1" applyAlignment="1" applyProtection="1">
      <alignment horizontal="left"/>
      <protection hidden="1"/>
    </xf>
    <xf numFmtId="165" fontId="29" fillId="0" borderId="0" xfId="0" applyNumberFormat="1" applyFont="1" applyProtection="1">
      <protection hidden="1"/>
    </xf>
    <xf numFmtId="165" fontId="28" fillId="0" borderId="0" xfId="0" applyNumberFormat="1" applyFont="1" applyProtection="1">
      <protection hidden="1"/>
    </xf>
    <xf numFmtId="0" fontId="26" fillId="10" borderId="11" xfId="32" applyFont="1" applyFill="1" applyBorder="1" applyAlignment="1" applyProtection="1">
      <alignment horizontal="left"/>
      <protection hidden="1"/>
    </xf>
    <xf numFmtId="0" fontId="26" fillId="10" borderId="1" xfId="32" applyFont="1" applyFill="1" applyBorder="1" applyAlignment="1" applyProtection="1">
      <alignment horizontal="left"/>
      <protection hidden="1"/>
    </xf>
    <xf numFmtId="0" fontId="29" fillId="2" borderId="23" xfId="32" applyFont="1" applyFill="1" applyBorder="1" applyProtection="1">
      <protection hidden="1"/>
    </xf>
    <xf numFmtId="0" fontId="29" fillId="2" borderId="10" xfId="32" applyFont="1" applyFill="1" applyBorder="1" applyProtection="1">
      <protection hidden="1"/>
    </xf>
    <xf numFmtId="0" fontId="29" fillId="2" borderId="2" xfId="32" applyFont="1" applyFill="1" applyBorder="1" applyProtection="1">
      <protection hidden="1"/>
    </xf>
    <xf numFmtId="177" fontId="27" fillId="2" borderId="40" xfId="0" applyNumberFormat="1" applyFont="1" applyFill="1" applyBorder="1"/>
    <xf numFmtId="175" fontId="28" fillId="2" borderId="6" xfId="0" applyNumberFormat="1" applyFont="1" applyFill="1" applyBorder="1" applyProtection="1">
      <protection hidden="1"/>
    </xf>
    <xf numFmtId="9" fontId="29" fillId="0" borderId="0" xfId="0" applyNumberFormat="1" applyFont="1" applyProtection="1">
      <protection hidden="1"/>
    </xf>
    <xf numFmtId="177" fontId="28" fillId="0" borderId="10" xfId="76" applyNumberFormat="1" applyFont="1" applyBorder="1" applyProtection="1">
      <protection hidden="1"/>
    </xf>
    <xf numFmtId="177" fontId="28" fillId="0" borderId="9" xfId="76" applyNumberFormat="1" applyFont="1" applyBorder="1" applyProtection="1">
      <protection hidden="1"/>
    </xf>
    <xf numFmtId="177" fontId="28" fillId="2" borderId="9" xfId="124" applyNumberFormat="1" applyFont="1" applyFill="1" applyBorder="1" applyProtection="1">
      <protection hidden="1"/>
    </xf>
    <xf numFmtId="177" fontId="27" fillId="2" borderId="4" xfId="0" applyNumberFormat="1" applyFont="1" applyFill="1" applyBorder="1"/>
    <xf numFmtId="0" fontId="28" fillId="0" borderId="3" xfId="0" applyFont="1" applyBorder="1" applyAlignment="1" applyProtection="1">
      <alignment horizontal="left"/>
      <protection hidden="1"/>
    </xf>
    <xf numFmtId="0" fontId="29" fillId="0" borderId="0" xfId="0" applyFont="1" applyAlignment="1" applyProtection="1">
      <alignment vertical="center"/>
      <protection hidden="1"/>
    </xf>
    <xf numFmtId="0" fontId="33" fillId="6" borderId="32" xfId="0" applyFont="1" applyFill="1" applyBorder="1"/>
    <xf numFmtId="0" fontId="26" fillId="10" borderId="31" xfId="0" applyFont="1" applyFill="1" applyBorder="1"/>
    <xf numFmtId="0" fontId="26" fillId="10" borderId="28" xfId="0" applyFont="1" applyFill="1" applyBorder="1" applyAlignment="1">
      <alignment horizontal="center" wrapText="1"/>
    </xf>
    <xf numFmtId="167" fontId="28" fillId="11" borderId="32" xfId="16" applyFont="1" applyFill="1" applyBorder="1" applyAlignment="1"/>
    <xf numFmtId="0" fontId="33" fillId="11" borderId="0" xfId="0" applyFont="1" applyFill="1"/>
    <xf numFmtId="0" fontId="33" fillId="11" borderId="0" xfId="0" applyFont="1" applyFill="1" applyAlignment="1">
      <alignment horizontal="center"/>
    </xf>
    <xf numFmtId="176" fontId="28" fillId="6" borderId="0" xfId="16" applyNumberFormat="1" applyFont="1" applyFill="1" applyBorder="1" applyAlignment="1">
      <alignment horizontal="center" vertical="center" wrapText="1"/>
    </xf>
    <xf numFmtId="0" fontId="35" fillId="0" borderId="0" xfId="0" applyFont="1"/>
    <xf numFmtId="1" fontId="28" fillId="6" borderId="0" xfId="16" applyNumberFormat="1" applyFont="1" applyFill="1" applyBorder="1" applyAlignment="1">
      <alignment horizontal="center" vertical="center" wrapText="1"/>
    </xf>
    <xf numFmtId="1" fontId="28" fillId="11" borderId="0" xfId="16" applyNumberFormat="1" applyFont="1" applyFill="1" applyBorder="1" applyAlignment="1">
      <alignment horizontal="center" vertical="center" wrapText="1"/>
    </xf>
    <xf numFmtId="0" fontId="33" fillId="11" borderId="32" xfId="0" applyFont="1" applyFill="1" applyBorder="1"/>
    <xf numFmtId="176" fontId="28" fillId="11" borderId="0" xfId="16" applyNumberFormat="1" applyFont="1" applyFill="1" applyBorder="1" applyAlignment="1"/>
    <xf numFmtId="176" fontId="28" fillId="11" borderId="0" xfId="16" applyNumberFormat="1" applyFont="1" applyFill="1" applyBorder="1" applyAlignment="1">
      <alignment horizontal="center"/>
    </xf>
    <xf numFmtId="176" fontId="28" fillId="6" borderId="33" xfId="16" applyNumberFormat="1" applyFont="1" applyFill="1" applyBorder="1" applyAlignment="1"/>
    <xf numFmtId="176" fontId="28" fillId="6" borderId="33" xfId="16" applyNumberFormat="1" applyFont="1" applyFill="1" applyBorder="1" applyAlignment="1">
      <alignment horizontal="center"/>
    </xf>
    <xf numFmtId="176" fontId="28" fillId="6" borderId="0" xfId="16" applyNumberFormat="1" applyFont="1" applyFill="1" applyBorder="1" applyAlignment="1"/>
    <xf numFmtId="176" fontId="28" fillId="6" borderId="0" xfId="16" applyNumberFormat="1" applyFont="1" applyFill="1" applyBorder="1" applyAlignment="1">
      <alignment horizontal="center"/>
    </xf>
    <xf numFmtId="176" fontId="28" fillId="11" borderId="34" xfId="16" applyNumberFormat="1" applyFont="1" applyFill="1" applyBorder="1" applyAlignment="1"/>
    <xf numFmtId="176" fontId="28" fillId="11" borderId="34" xfId="16" applyNumberFormat="1" applyFont="1" applyFill="1" applyBorder="1" applyAlignment="1">
      <alignment horizontal="center"/>
    </xf>
    <xf numFmtId="167" fontId="28" fillId="6" borderId="32" xfId="16" applyFont="1" applyFill="1" applyBorder="1" applyAlignment="1"/>
    <xf numFmtId="0" fontId="33" fillId="6" borderId="35" xfId="0" applyFont="1" applyFill="1" applyBorder="1"/>
    <xf numFmtId="176" fontId="33" fillId="6" borderId="36" xfId="0" applyNumberFormat="1" applyFont="1" applyFill="1" applyBorder="1"/>
    <xf numFmtId="176" fontId="33" fillId="6" borderId="36" xfId="0" applyNumberFormat="1" applyFont="1" applyFill="1" applyBorder="1" applyAlignment="1">
      <alignment horizontal="center"/>
    </xf>
    <xf numFmtId="176" fontId="33" fillId="6" borderId="0" xfId="0" applyNumberFormat="1" applyFont="1" applyFill="1"/>
    <xf numFmtId="176" fontId="33" fillId="6" borderId="0" xfId="0" applyNumberFormat="1" applyFont="1" applyFill="1" applyAlignment="1">
      <alignment horizontal="center"/>
    </xf>
    <xf numFmtId="172" fontId="33" fillId="6" borderId="0" xfId="0" applyNumberFormat="1" applyFont="1" applyFill="1"/>
    <xf numFmtId="0" fontId="33" fillId="7" borderId="37" xfId="0" applyFont="1" applyFill="1" applyBorder="1"/>
    <xf numFmtId="0" fontId="33" fillId="7" borderId="32" xfId="0" applyFont="1" applyFill="1" applyBorder="1"/>
    <xf numFmtId="0" fontId="33" fillId="7" borderId="0" xfId="0" applyFont="1" applyFill="1" applyAlignment="1">
      <alignment horizontal="center" wrapText="1"/>
    </xf>
    <xf numFmtId="167" fontId="28" fillId="8" borderId="22" xfId="16" applyFont="1" applyFill="1" applyBorder="1" applyAlignment="1"/>
    <xf numFmtId="167" fontId="28" fillId="9" borderId="22" xfId="17" applyFont="1" applyFill="1" applyBorder="1" applyAlignment="1"/>
    <xf numFmtId="0" fontId="28" fillId="9" borderId="22" xfId="32" applyFont="1" applyFill="1" applyBorder="1"/>
    <xf numFmtId="0" fontId="28" fillId="0" borderId="0" xfId="0" applyFont="1"/>
    <xf numFmtId="174" fontId="28" fillId="9" borderId="22" xfId="0" applyNumberFormat="1" applyFont="1" applyFill="1" applyBorder="1"/>
    <xf numFmtId="0" fontId="28" fillId="6" borderId="0" xfId="0" applyFont="1" applyFill="1"/>
    <xf numFmtId="0" fontId="28" fillId="6" borderId="30" xfId="0" applyFont="1" applyFill="1" applyBorder="1"/>
    <xf numFmtId="0" fontId="28" fillId="0" borderId="17" xfId="0" applyFont="1" applyBorder="1"/>
    <xf numFmtId="171" fontId="28" fillId="0" borderId="17" xfId="0" applyNumberFormat="1" applyFont="1" applyBorder="1" applyAlignment="1">
      <alignment horizontal="center"/>
    </xf>
    <xf numFmtId="171" fontId="28" fillId="6" borderId="0" xfId="16" applyNumberFormat="1" applyFont="1" applyFill="1" applyBorder="1" applyAlignment="1">
      <alignment horizontal="right" vertical="center" wrapText="1"/>
    </xf>
    <xf numFmtId="176" fontId="28" fillId="6" borderId="0" xfId="0" applyNumberFormat="1" applyFont="1" applyFill="1"/>
    <xf numFmtId="176" fontId="28" fillId="6" borderId="0" xfId="0" applyNumberFormat="1" applyFont="1" applyFill="1" applyAlignment="1">
      <alignment horizontal="center"/>
    </xf>
    <xf numFmtId="176" fontId="28" fillId="6" borderId="33" xfId="0" applyNumberFormat="1" applyFont="1" applyFill="1" applyBorder="1"/>
    <xf numFmtId="176" fontId="28" fillId="6" borderId="33" xfId="0" applyNumberFormat="1" applyFont="1" applyFill="1" applyBorder="1" applyAlignment="1">
      <alignment horizontal="center"/>
    </xf>
    <xf numFmtId="0" fontId="28" fillId="0" borderId="0" xfId="0" applyFont="1" applyAlignment="1">
      <alignment wrapText="1"/>
    </xf>
    <xf numFmtId="174" fontId="28" fillId="6" borderId="0" xfId="16" applyNumberFormat="1" applyFont="1" applyFill="1" applyBorder="1" applyAlignment="1"/>
    <xf numFmtId="174" fontId="28" fillId="0" borderId="0" xfId="0" applyNumberFormat="1" applyFont="1"/>
    <xf numFmtId="0" fontId="28" fillId="7" borderId="0" xfId="0" applyFont="1" applyFill="1" applyAlignment="1">
      <alignment vertical="center" wrapText="1"/>
    </xf>
    <xf numFmtId="0" fontId="28" fillId="7" borderId="0" xfId="0" applyFont="1" applyFill="1" applyAlignment="1">
      <alignment wrapText="1"/>
    </xf>
    <xf numFmtId="0" fontId="28" fillId="7" borderId="0" xfId="0" applyFont="1" applyFill="1"/>
    <xf numFmtId="0" fontId="28" fillId="7" borderId="30" xfId="0" applyFont="1" applyFill="1" applyBorder="1"/>
    <xf numFmtId="167" fontId="28" fillId="7" borderId="29" xfId="16" applyFont="1" applyFill="1" applyBorder="1" applyAlignment="1">
      <alignment horizontal="left"/>
    </xf>
    <xf numFmtId="174" fontId="28" fillId="7" borderId="24" xfId="0" applyNumberFormat="1" applyFont="1" applyFill="1" applyBorder="1"/>
    <xf numFmtId="174" fontId="28" fillId="7" borderId="23" xfId="0" applyNumberFormat="1" applyFont="1" applyFill="1" applyBorder="1"/>
    <xf numFmtId="0" fontId="28" fillId="7" borderId="22" xfId="0" applyFont="1" applyFill="1" applyBorder="1"/>
    <xf numFmtId="167" fontId="28" fillId="7" borderId="0" xfId="0" applyNumberFormat="1" applyFont="1" applyFill="1"/>
    <xf numFmtId="167" fontId="28" fillId="7" borderId="10" xfId="0" applyNumberFormat="1" applyFont="1" applyFill="1" applyBorder="1"/>
    <xf numFmtId="167" fontId="28" fillId="8" borderId="0" xfId="0" applyNumberFormat="1" applyFont="1" applyFill="1"/>
    <xf numFmtId="167" fontId="28" fillId="8" borderId="10" xfId="0" applyNumberFormat="1" applyFont="1" applyFill="1" applyBorder="1"/>
    <xf numFmtId="174" fontId="28" fillId="7" borderId="0" xfId="0" applyNumberFormat="1" applyFont="1" applyFill="1"/>
    <xf numFmtId="174" fontId="28" fillId="7" borderId="10" xfId="0" applyNumberFormat="1" applyFont="1" applyFill="1" applyBorder="1"/>
    <xf numFmtId="0" fontId="28" fillId="3" borderId="22" xfId="32" applyFont="1" applyFill="1" applyBorder="1"/>
    <xf numFmtId="174" fontId="28" fillId="8" borderId="0" xfId="0" applyNumberFormat="1" applyFont="1" applyFill="1"/>
    <xf numFmtId="174" fontId="28" fillId="8" borderId="10" xfId="0" applyNumberFormat="1" applyFont="1" applyFill="1" applyBorder="1"/>
    <xf numFmtId="171" fontId="28" fillId="7" borderId="33" xfId="0" applyNumberFormat="1" applyFont="1" applyFill="1" applyBorder="1"/>
    <xf numFmtId="171" fontId="28" fillId="7" borderId="45" xfId="0" applyNumberFormat="1" applyFont="1" applyFill="1" applyBorder="1"/>
    <xf numFmtId="2" fontId="28" fillId="7" borderId="38" xfId="0" applyNumberFormat="1" applyFont="1" applyFill="1" applyBorder="1"/>
    <xf numFmtId="2" fontId="28" fillId="7" borderId="46" xfId="0" applyNumberFormat="1" applyFont="1" applyFill="1" applyBorder="1"/>
    <xf numFmtId="2" fontId="28" fillId="8" borderId="33" xfId="0" applyNumberFormat="1" applyFont="1" applyFill="1" applyBorder="1"/>
    <xf numFmtId="2" fontId="28" fillId="8" borderId="45" xfId="0" applyNumberFormat="1" applyFont="1" applyFill="1" applyBorder="1"/>
    <xf numFmtId="2" fontId="28" fillId="7" borderId="33" xfId="0" applyNumberFormat="1" applyFont="1" applyFill="1" applyBorder="1"/>
    <xf numFmtId="2" fontId="28" fillId="7" borderId="45" xfId="0" applyNumberFormat="1" applyFont="1" applyFill="1" applyBorder="1"/>
    <xf numFmtId="0" fontId="28" fillId="7" borderId="5" xfId="0" applyFont="1" applyFill="1" applyBorder="1"/>
    <xf numFmtId="2" fontId="28" fillId="7" borderId="47" xfId="0" applyNumberFormat="1" applyFont="1" applyFill="1" applyBorder="1"/>
    <xf numFmtId="2" fontId="28" fillId="7" borderId="48" xfId="0" applyNumberFormat="1" applyFont="1" applyFill="1" applyBorder="1"/>
    <xf numFmtId="0" fontId="25" fillId="12" borderId="29" xfId="123" applyFont="1" applyFill="1" applyBorder="1" applyAlignment="1">
      <alignment horizontal="center"/>
    </xf>
    <xf numFmtId="0" fontId="25" fillId="12" borderId="24" xfId="123" applyFont="1" applyFill="1" applyBorder="1" applyAlignment="1">
      <alignment horizontal="center"/>
    </xf>
    <xf numFmtId="0" fontId="25" fillId="12" borderId="23" xfId="123" applyFont="1" applyFill="1" applyBorder="1" applyAlignment="1">
      <alignment horizontal="center"/>
    </xf>
    <xf numFmtId="0" fontId="23" fillId="12" borderId="29" xfId="123" applyFont="1" applyFill="1" applyBorder="1" applyAlignment="1">
      <alignment horizontal="center"/>
    </xf>
    <xf numFmtId="0" fontId="23" fillId="12" borderId="24" xfId="123" applyFont="1" applyFill="1" applyBorder="1" applyAlignment="1">
      <alignment horizontal="center"/>
    </xf>
    <xf numFmtId="0" fontId="23" fillId="12" borderId="23" xfId="123" applyFont="1" applyFill="1" applyBorder="1" applyAlignment="1">
      <alignment horizontal="center"/>
    </xf>
    <xf numFmtId="0" fontId="3" fillId="0" borderId="11" xfId="67" applyFont="1" applyBorder="1" applyAlignment="1">
      <alignment horizontal="center" vertical="center"/>
    </xf>
    <xf numFmtId="0" fontId="3" fillId="0" borderId="3" xfId="67" applyFont="1" applyBorder="1" applyAlignment="1">
      <alignment horizontal="center" vertical="center"/>
    </xf>
    <xf numFmtId="0" fontId="3" fillId="6" borderId="0" xfId="0" applyFont="1" applyFill="1" applyAlignment="1" applyProtection="1">
      <alignment horizontal="center" wrapText="1"/>
      <protection hidden="1"/>
    </xf>
    <xf numFmtId="0" fontId="3" fillId="0" borderId="12" xfId="67" applyFont="1" applyBorder="1" applyAlignment="1">
      <alignment horizontal="center" vertical="center" textRotation="90" wrapText="1"/>
    </xf>
    <xf numFmtId="0" fontId="3" fillId="0" borderId="9" xfId="67" applyFont="1" applyBorder="1" applyAlignment="1">
      <alignment horizontal="center" vertical="center" textRotation="90" wrapText="1"/>
    </xf>
    <xf numFmtId="0" fontId="3" fillId="0" borderId="40" xfId="67" applyFont="1" applyBorder="1" applyAlignment="1">
      <alignment horizontal="center" vertical="center" textRotation="90" wrapText="1"/>
    </xf>
    <xf numFmtId="0" fontId="3" fillId="0" borderId="11" xfId="67" applyFont="1" applyBorder="1" applyAlignment="1">
      <alignment vertical="center" wrapText="1"/>
    </xf>
    <xf numFmtId="0" fontId="3" fillId="0" borderId="3" xfId="67" applyFont="1" applyBorder="1" applyAlignment="1">
      <alignment vertical="center" wrapText="1"/>
    </xf>
    <xf numFmtId="0" fontId="3" fillId="0" borderId="1" xfId="67" applyFont="1" applyBorder="1" applyAlignment="1">
      <alignment horizontal="center" vertical="center"/>
    </xf>
    <xf numFmtId="0" fontId="3" fillId="6" borderId="39" xfId="0" applyFont="1" applyFill="1" applyBorder="1" applyAlignment="1" applyProtection="1">
      <alignment horizontal="left" wrapText="1"/>
      <protection hidden="1"/>
    </xf>
    <xf numFmtId="0" fontId="27" fillId="2" borderId="26" xfId="0" applyFont="1" applyFill="1" applyBorder="1" applyAlignment="1">
      <alignment wrapText="1"/>
    </xf>
    <xf numFmtId="0" fontId="29" fillId="0" borderId="27" xfId="0" applyFont="1" applyBorder="1" applyAlignment="1">
      <alignment wrapText="1"/>
    </xf>
    <xf numFmtId="0" fontId="27" fillId="2" borderId="44" xfId="0" applyFont="1" applyFill="1" applyBorder="1" applyAlignment="1">
      <alignment wrapText="1"/>
    </xf>
    <xf numFmtId="0" fontId="29" fillId="0" borderId="30" xfId="0" applyFont="1" applyBorder="1" applyAlignment="1">
      <alignment wrapText="1"/>
    </xf>
    <xf numFmtId="0" fontId="29" fillId="6" borderId="29" xfId="0" applyFont="1" applyFill="1" applyBorder="1" applyAlignment="1" applyProtection="1">
      <alignment horizontal="center" vertical="center"/>
      <protection hidden="1"/>
    </xf>
    <xf numFmtId="0" fontId="29" fillId="6" borderId="24" xfId="0" applyFont="1" applyFill="1" applyBorder="1" applyAlignment="1" applyProtection="1">
      <alignment horizontal="center" vertical="center"/>
      <protection hidden="1"/>
    </xf>
    <xf numFmtId="0" fontId="29" fillId="6" borderId="23" xfId="0" applyFont="1" applyFill="1" applyBorder="1" applyAlignment="1" applyProtection="1">
      <alignment horizontal="center" vertical="center"/>
      <protection hidden="1"/>
    </xf>
    <xf numFmtId="0" fontId="29" fillId="6" borderId="22" xfId="0" applyFont="1" applyFill="1" applyBorder="1" applyAlignment="1" applyProtection="1">
      <alignment horizontal="center" vertical="center"/>
      <protection hidden="1"/>
    </xf>
    <xf numFmtId="0" fontId="29" fillId="6" borderId="0" xfId="0" applyFont="1" applyFill="1" applyAlignment="1" applyProtection="1">
      <alignment horizontal="center" vertical="center"/>
      <protection hidden="1"/>
    </xf>
    <xf numFmtId="0" fontId="29" fillId="6" borderId="10" xfId="0" applyFont="1" applyFill="1" applyBorder="1" applyAlignment="1" applyProtection="1">
      <alignment horizontal="center" vertical="center"/>
      <protection hidden="1"/>
    </xf>
    <xf numFmtId="0" fontId="29" fillId="6" borderId="5" xfId="0" applyFont="1" applyFill="1" applyBorder="1" applyAlignment="1" applyProtection="1">
      <alignment horizontal="center" vertical="center"/>
      <protection hidden="1"/>
    </xf>
    <xf numFmtId="0" fontId="29" fillId="6" borderId="4" xfId="0" applyFont="1" applyFill="1" applyBorder="1" applyAlignment="1" applyProtection="1">
      <alignment horizontal="center" vertical="center"/>
      <protection hidden="1"/>
    </xf>
    <xf numFmtId="0" fontId="29" fillId="6" borderId="2" xfId="0" applyFont="1" applyFill="1" applyBorder="1" applyAlignment="1" applyProtection="1">
      <alignment horizontal="center" vertical="center"/>
      <protection hidden="1"/>
    </xf>
    <xf numFmtId="0" fontId="26" fillId="10" borderId="11" xfId="32" applyFont="1" applyFill="1" applyBorder="1" applyAlignment="1" applyProtection="1">
      <alignment horizontal="left" wrapText="1"/>
      <protection hidden="1"/>
    </xf>
    <xf numFmtId="0" fontId="30" fillId="10" borderId="1" xfId="32" applyFont="1" applyFill="1" applyBorder="1" applyAlignment="1">
      <alignment wrapText="1"/>
    </xf>
    <xf numFmtId="0" fontId="26" fillId="10" borderId="1" xfId="32" applyFont="1" applyFill="1" applyBorder="1" applyAlignment="1" applyProtection="1">
      <alignment wrapText="1"/>
      <protection hidden="1"/>
    </xf>
    <xf numFmtId="0" fontId="28" fillId="11" borderId="11" xfId="32" applyFont="1" applyFill="1" applyBorder="1" applyAlignment="1" applyProtection="1">
      <alignment horizontal="left" wrapText="1"/>
      <protection hidden="1"/>
    </xf>
    <xf numFmtId="0" fontId="29" fillId="11" borderId="1" xfId="32" applyFont="1" applyFill="1" applyBorder="1" applyAlignment="1">
      <alignment horizontal="left" wrapText="1"/>
    </xf>
    <xf numFmtId="0" fontId="29" fillId="11" borderId="3" xfId="32" applyFont="1" applyFill="1" applyBorder="1" applyAlignment="1">
      <alignment horizontal="left" wrapText="1"/>
    </xf>
    <xf numFmtId="0" fontId="26" fillId="10" borderId="11" xfId="0" applyFont="1" applyFill="1" applyBorder="1" applyAlignment="1" applyProtection="1">
      <alignment horizontal="left" wrapText="1"/>
      <protection hidden="1"/>
    </xf>
    <xf numFmtId="0" fontId="30" fillId="10" borderId="1" xfId="0" applyFont="1" applyFill="1" applyBorder="1" applyAlignment="1">
      <alignment horizontal="left" wrapText="1"/>
    </xf>
    <xf numFmtId="0" fontId="30" fillId="10" borderId="3" xfId="0" applyFont="1" applyFill="1" applyBorder="1" applyAlignment="1">
      <alignment horizontal="left" wrapText="1"/>
    </xf>
    <xf numFmtId="0" fontId="28" fillId="11" borderId="1" xfId="32" applyFont="1" applyFill="1" applyBorder="1" applyAlignment="1" applyProtection="1">
      <alignment horizontal="left" wrapText="1"/>
      <protection hidden="1"/>
    </xf>
    <xf numFmtId="0" fontId="28" fillId="11" borderId="3" xfId="32" applyFont="1" applyFill="1" applyBorder="1" applyAlignment="1" applyProtection="1">
      <alignment horizontal="left" wrapText="1"/>
      <protection hidden="1"/>
    </xf>
    <xf numFmtId="0" fontId="28" fillId="11" borderId="11" xfId="0" applyFont="1" applyFill="1" applyBorder="1" applyAlignment="1" applyProtection="1">
      <alignment horizontal="left" wrapText="1"/>
      <protection hidden="1"/>
    </xf>
    <xf numFmtId="0" fontId="29" fillId="11" borderId="1" xfId="0" applyFont="1" applyFill="1" applyBorder="1" applyAlignment="1">
      <alignment horizontal="left" wrapText="1"/>
    </xf>
    <xf numFmtId="0" fontId="26" fillId="10" borderId="11" xfId="32" applyFont="1" applyFill="1" applyBorder="1" applyAlignment="1" applyProtection="1">
      <alignment horizontal="left" wrapText="1" readingOrder="1"/>
      <protection hidden="1"/>
    </xf>
    <xf numFmtId="0" fontId="26" fillId="10" borderId="1" xfId="32" applyFont="1" applyFill="1" applyBorder="1" applyAlignment="1" applyProtection="1">
      <alignment horizontal="left" wrapText="1" readingOrder="1"/>
      <protection hidden="1"/>
    </xf>
    <xf numFmtId="0" fontId="26" fillId="10" borderId="3" xfId="32" applyFont="1" applyFill="1" applyBorder="1" applyAlignment="1" applyProtection="1">
      <alignment horizontal="left" wrapText="1" readingOrder="1"/>
      <protection hidden="1"/>
    </xf>
    <xf numFmtId="165" fontId="28" fillId="11" borderId="11" xfId="32" applyNumberFormat="1" applyFont="1" applyFill="1" applyBorder="1" applyAlignment="1" applyProtection="1">
      <alignment horizontal="left" wrapText="1"/>
      <protection hidden="1"/>
    </xf>
    <xf numFmtId="165" fontId="28" fillId="11" borderId="1" xfId="32" applyNumberFormat="1" applyFont="1" applyFill="1" applyBorder="1" applyAlignment="1" applyProtection="1">
      <alignment horizontal="left" wrapText="1"/>
      <protection hidden="1"/>
    </xf>
    <xf numFmtId="165" fontId="28" fillId="11" borderId="3" xfId="32" applyNumberFormat="1" applyFont="1" applyFill="1" applyBorder="1" applyAlignment="1" applyProtection="1">
      <alignment horizontal="left" wrapText="1"/>
      <protection hidden="1"/>
    </xf>
    <xf numFmtId="0" fontId="29" fillId="0" borderId="29" xfId="0" applyFont="1" applyBorder="1" applyAlignment="1" applyProtection="1">
      <alignment horizontal="center" vertical="center"/>
      <protection hidden="1"/>
    </xf>
    <xf numFmtId="0" fontId="29" fillId="0" borderId="24" xfId="0" applyFont="1" applyBorder="1" applyAlignment="1" applyProtection="1">
      <alignment horizontal="center" vertical="center"/>
      <protection hidden="1"/>
    </xf>
    <xf numFmtId="0" fontId="29" fillId="0" borderId="23" xfId="0" applyFont="1" applyBorder="1" applyAlignment="1" applyProtection="1">
      <alignment horizontal="center" vertical="center"/>
      <protection hidden="1"/>
    </xf>
    <xf numFmtId="0" fontId="29" fillId="0" borderId="22" xfId="0" applyFont="1" applyBorder="1" applyAlignment="1" applyProtection="1">
      <alignment horizontal="center" vertical="center"/>
      <protection hidden="1"/>
    </xf>
    <xf numFmtId="0" fontId="29" fillId="0" borderId="0" xfId="0" applyFont="1" applyAlignment="1" applyProtection="1">
      <alignment horizontal="center" vertical="center"/>
      <protection hidden="1"/>
    </xf>
    <xf numFmtId="0" fontId="29" fillId="0" borderId="10" xfId="0" applyFont="1" applyBorder="1" applyAlignment="1" applyProtection="1">
      <alignment horizontal="center" vertical="center"/>
      <protection hidden="1"/>
    </xf>
    <xf numFmtId="0" fontId="29" fillId="0" borderId="5" xfId="0" applyFont="1" applyBorder="1" applyAlignment="1" applyProtection="1">
      <alignment horizontal="center" vertical="center"/>
      <protection hidden="1"/>
    </xf>
    <xf numFmtId="0" fontId="29" fillId="0" borderId="4" xfId="0" applyFont="1" applyBorder="1" applyAlignment="1" applyProtection="1">
      <alignment horizontal="center" vertical="center"/>
      <protection hidden="1"/>
    </xf>
    <xf numFmtId="0" fontId="29" fillId="0" borderId="2" xfId="0" applyFont="1" applyBorder="1" applyAlignment="1" applyProtection="1">
      <alignment horizontal="center" vertical="center"/>
      <protection hidden="1"/>
    </xf>
    <xf numFmtId="0" fontId="32" fillId="0" borderId="0" xfId="48" applyFont="1" applyAlignment="1">
      <alignment horizontal="center"/>
    </xf>
    <xf numFmtId="0" fontId="26" fillId="10" borderId="29" xfId="32" applyFont="1" applyFill="1" applyBorder="1" applyAlignment="1" applyProtection="1">
      <alignment horizontal="left" wrapText="1" readingOrder="1"/>
      <protection hidden="1"/>
    </xf>
    <xf numFmtId="0" fontId="26" fillId="10" borderId="24" xfId="32" applyFont="1" applyFill="1" applyBorder="1" applyAlignment="1" applyProtection="1">
      <alignment horizontal="left" wrapText="1" readingOrder="1"/>
      <protection hidden="1"/>
    </xf>
    <xf numFmtId="0" fontId="28" fillId="11" borderId="17" xfId="32" applyFont="1" applyFill="1" applyBorder="1" applyAlignment="1" applyProtection="1">
      <alignment horizontal="left" wrapText="1"/>
      <protection hidden="1"/>
    </xf>
    <xf numFmtId="0" fontId="26" fillId="10" borderId="1" xfId="32" applyFont="1" applyFill="1" applyBorder="1" applyAlignment="1" applyProtection="1">
      <alignment horizontal="left" vertical="center"/>
      <protection hidden="1"/>
    </xf>
    <xf numFmtId="0" fontId="30" fillId="10" borderId="1" xfId="32" applyFont="1" applyFill="1" applyBorder="1" applyAlignment="1">
      <alignment horizontal="left" wrapText="1"/>
    </xf>
    <xf numFmtId="0" fontId="28" fillId="11" borderId="5" xfId="32" applyFont="1" applyFill="1" applyBorder="1" applyAlignment="1" applyProtection="1">
      <alignment horizontal="left" wrapText="1"/>
      <protection hidden="1"/>
    </xf>
    <xf numFmtId="165" fontId="28" fillId="11" borderId="11" xfId="32" applyNumberFormat="1" applyFont="1" applyFill="1" applyBorder="1" applyAlignment="1" applyProtection="1">
      <alignment wrapText="1"/>
      <protection hidden="1"/>
    </xf>
    <xf numFmtId="165" fontId="28" fillId="11" borderId="1" xfId="32" applyNumberFormat="1" applyFont="1" applyFill="1" applyBorder="1" applyAlignment="1" applyProtection="1">
      <alignment wrapText="1"/>
      <protection hidden="1"/>
    </xf>
    <xf numFmtId="0" fontId="27" fillId="2" borderId="27" xfId="0" applyFont="1" applyFill="1" applyBorder="1" applyAlignment="1">
      <alignment wrapText="1"/>
    </xf>
    <xf numFmtId="0" fontId="27" fillId="2" borderId="43" xfId="0" applyFont="1" applyFill="1" applyBorder="1" applyAlignment="1">
      <alignment wrapText="1"/>
    </xf>
    <xf numFmtId="0" fontId="27" fillId="2" borderId="39" xfId="0" applyFont="1" applyFill="1" applyBorder="1" applyAlignment="1">
      <alignment wrapText="1"/>
    </xf>
    <xf numFmtId="0" fontId="29" fillId="0" borderId="39" xfId="0" applyFont="1" applyBorder="1" applyAlignment="1">
      <alignment wrapText="1"/>
    </xf>
    <xf numFmtId="0" fontId="26" fillId="10" borderId="23" xfId="32" applyFont="1" applyFill="1" applyBorder="1" applyAlignment="1" applyProtection="1">
      <alignment horizontal="left" wrapText="1" readingOrder="1"/>
      <protection hidden="1"/>
    </xf>
    <xf numFmtId="0" fontId="28" fillId="11" borderId="4" xfId="32" applyFont="1" applyFill="1" applyBorder="1" applyAlignment="1" applyProtection="1">
      <alignment horizontal="left" wrapText="1"/>
      <protection hidden="1"/>
    </xf>
    <xf numFmtId="0" fontId="28" fillId="11" borderId="2" xfId="32" applyFont="1" applyFill="1" applyBorder="1" applyAlignment="1" applyProtection="1">
      <alignment horizontal="left" wrapText="1"/>
      <protection hidden="1"/>
    </xf>
    <xf numFmtId="0" fontId="28" fillId="6" borderId="29" xfId="0" applyFont="1" applyFill="1" applyBorder="1" applyAlignment="1" applyProtection="1">
      <alignment horizontal="center" vertical="center"/>
      <protection hidden="1"/>
    </xf>
    <xf numFmtId="0" fontId="28" fillId="6" borderId="24" xfId="0" applyFont="1" applyFill="1" applyBorder="1" applyAlignment="1" applyProtection="1">
      <alignment horizontal="center" vertical="center"/>
      <protection hidden="1"/>
    </xf>
    <xf numFmtId="0" fontId="28" fillId="6" borderId="23" xfId="0" applyFont="1" applyFill="1" applyBorder="1" applyAlignment="1" applyProtection="1">
      <alignment horizontal="center" vertical="center"/>
      <protection hidden="1"/>
    </xf>
    <xf numFmtId="0" fontId="28" fillId="6" borderId="22" xfId="0" applyFont="1" applyFill="1" applyBorder="1" applyAlignment="1" applyProtection="1">
      <alignment horizontal="center" vertical="center"/>
      <protection hidden="1"/>
    </xf>
    <xf numFmtId="0" fontId="28" fillId="6" borderId="0" xfId="0" applyFont="1" applyFill="1" applyAlignment="1" applyProtection="1">
      <alignment horizontal="center" vertical="center"/>
      <protection hidden="1"/>
    </xf>
    <xf numFmtId="0" fontId="28" fillId="6" borderId="10" xfId="0" applyFont="1" applyFill="1" applyBorder="1" applyAlignment="1" applyProtection="1">
      <alignment horizontal="center" vertical="center"/>
      <protection hidden="1"/>
    </xf>
    <xf numFmtId="0" fontId="28" fillId="6" borderId="5" xfId="0" applyFont="1" applyFill="1" applyBorder="1" applyAlignment="1" applyProtection="1">
      <alignment horizontal="center" vertical="center"/>
      <protection hidden="1"/>
    </xf>
    <xf numFmtId="0" fontId="28" fillId="6" borderId="4" xfId="0" applyFont="1" applyFill="1" applyBorder="1" applyAlignment="1" applyProtection="1">
      <alignment horizontal="center" vertical="center"/>
      <protection hidden="1"/>
    </xf>
    <xf numFmtId="0" fontId="28" fillId="6" borderId="2" xfId="0" applyFont="1" applyFill="1" applyBorder="1" applyAlignment="1" applyProtection="1">
      <alignment horizontal="center" vertical="center"/>
      <protection hidden="1"/>
    </xf>
    <xf numFmtId="0" fontId="29" fillId="0" borderId="11" xfId="0" applyFont="1" applyBorder="1" applyAlignment="1">
      <alignment vertical="center" wrapText="1"/>
    </xf>
    <xf numFmtId="0" fontId="29" fillId="6" borderId="1" xfId="0" applyFont="1" applyFill="1" applyBorder="1" applyAlignment="1">
      <alignment vertical="center" wrapText="1"/>
    </xf>
    <xf numFmtId="0" fontId="29" fillId="6" borderId="3" xfId="0" applyFont="1" applyFill="1" applyBorder="1" applyAlignment="1">
      <alignment vertical="center" wrapText="1"/>
    </xf>
    <xf numFmtId="178" fontId="4" fillId="6" borderId="0" xfId="37" applyNumberFormat="1" applyFill="1" applyAlignment="1">
      <alignment horizontal="right"/>
    </xf>
    <xf numFmtId="0" fontId="38" fillId="0" borderId="0" xfId="0" applyFont="1"/>
  </cellXfs>
  <cellStyles count="125">
    <cellStyle name="Comma 2" xfId="1" xr:uid="{00000000-0005-0000-0000-000000000000}"/>
    <cellStyle name="Comma 2 2" xfId="2" xr:uid="{00000000-0005-0000-0000-000001000000}"/>
    <cellStyle name="Comma 2 3" xfId="3" xr:uid="{00000000-0005-0000-0000-000002000000}"/>
    <cellStyle name="Comma 2 4" xfId="4" xr:uid="{00000000-0005-0000-0000-000003000000}"/>
    <cellStyle name="Comma 3" xfId="5" xr:uid="{00000000-0005-0000-0000-000004000000}"/>
    <cellStyle name="Comma 3 2" xfId="6" xr:uid="{00000000-0005-0000-0000-000005000000}"/>
    <cellStyle name="Comma 3 3" xfId="7" xr:uid="{00000000-0005-0000-0000-000006000000}"/>
    <cellStyle name="Comma 3 3 2" xfId="8" xr:uid="{00000000-0005-0000-0000-000007000000}"/>
    <cellStyle name="Comma 3 4" xfId="9" xr:uid="{00000000-0005-0000-0000-000008000000}"/>
    <cellStyle name="Comma 4" xfId="10" xr:uid="{00000000-0005-0000-0000-000009000000}"/>
    <cellStyle name="Comma 4 2" xfId="11" xr:uid="{00000000-0005-0000-0000-00000A000000}"/>
    <cellStyle name="Comma 5" xfId="12" xr:uid="{00000000-0005-0000-0000-00000B000000}"/>
    <cellStyle name="Comma 5 2" xfId="13" xr:uid="{00000000-0005-0000-0000-00000C000000}"/>
    <cellStyle name="Comma 5 3" xfId="14" xr:uid="{00000000-0005-0000-0000-00000D000000}"/>
    <cellStyle name="Comma 5 3 2" xfId="15" xr:uid="{00000000-0005-0000-0000-00000E000000}"/>
    <cellStyle name="Comma 6" xfId="16" xr:uid="{00000000-0005-0000-0000-00000F000000}"/>
    <cellStyle name="Comma 6 2" xfId="17" xr:uid="{00000000-0005-0000-0000-000010000000}"/>
    <cellStyle name="Comma 6 3" xfId="18" xr:uid="{00000000-0005-0000-0000-000011000000}"/>
    <cellStyle name="Comma 6 3 2" xfId="19" xr:uid="{00000000-0005-0000-0000-000012000000}"/>
    <cellStyle name="Comma 7" xfId="20" xr:uid="{00000000-0005-0000-0000-000013000000}"/>
    <cellStyle name="Comma 7 2" xfId="21" xr:uid="{00000000-0005-0000-0000-000014000000}"/>
    <cellStyle name="Comma 7 3" xfId="22" xr:uid="{00000000-0005-0000-0000-000015000000}"/>
    <cellStyle name="Currency 2" xfId="23" xr:uid="{00000000-0005-0000-0000-000016000000}"/>
    <cellStyle name="Currency 3" xfId="24" xr:uid="{00000000-0005-0000-0000-000017000000}"/>
    <cellStyle name="Currency 3 2" xfId="25" xr:uid="{00000000-0005-0000-0000-000018000000}"/>
    <cellStyle name="Currency 3 3" xfId="26" xr:uid="{00000000-0005-0000-0000-000019000000}"/>
    <cellStyle name="Hyperlink 2" xfId="27" xr:uid="{00000000-0005-0000-0000-00001A000000}"/>
    <cellStyle name="Hyperlink 2 2" xfId="28" xr:uid="{00000000-0005-0000-0000-00001B000000}"/>
    <cellStyle name="Hyperlink 2 3" xfId="29" xr:uid="{00000000-0005-0000-0000-00001C000000}"/>
    <cellStyle name="Hyperlink 3" xfId="30" xr:uid="{00000000-0005-0000-0000-00001D000000}"/>
    <cellStyle name="Hyperlink 3 2" xfId="31" xr:uid="{00000000-0005-0000-0000-00001E000000}"/>
    <cellStyle name="Normal" xfId="0" builtinId="0"/>
    <cellStyle name="Normal 10" xfId="123" xr:uid="{78C85415-9CE2-47EC-86C4-08A8A56EA17B}"/>
    <cellStyle name="Normal 2" xfId="32" xr:uid="{00000000-0005-0000-0000-000020000000}"/>
    <cellStyle name="Normal 2 2" xfId="33" xr:uid="{00000000-0005-0000-0000-000021000000}"/>
    <cellStyle name="Normal 2 2 2" xfId="34" xr:uid="{00000000-0005-0000-0000-000022000000}"/>
    <cellStyle name="Normal 2 2 2 2" xfId="35" xr:uid="{00000000-0005-0000-0000-000023000000}"/>
    <cellStyle name="Normal 2 2 2 3" xfId="36" xr:uid="{00000000-0005-0000-0000-000024000000}"/>
    <cellStyle name="Normal 2 2 3" xfId="37" xr:uid="{00000000-0005-0000-0000-000025000000}"/>
    <cellStyle name="Normal 2 2 4" xfId="38" xr:uid="{00000000-0005-0000-0000-000026000000}"/>
    <cellStyle name="Normal 2 2 5" xfId="39" xr:uid="{00000000-0005-0000-0000-000027000000}"/>
    <cellStyle name="Normal 2 3" xfId="40" xr:uid="{00000000-0005-0000-0000-000028000000}"/>
    <cellStyle name="Normal 2 3 2" xfId="41" xr:uid="{00000000-0005-0000-0000-000029000000}"/>
    <cellStyle name="Normal 2 3 3" xfId="42" xr:uid="{00000000-0005-0000-0000-00002A000000}"/>
    <cellStyle name="Normal 2 4" xfId="43" xr:uid="{00000000-0005-0000-0000-00002B000000}"/>
    <cellStyle name="Normal 2 5" xfId="44" xr:uid="{00000000-0005-0000-0000-00002C000000}"/>
    <cellStyle name="Normal 2 6" xfId="45" xr:uid="{00000000-0005-0000-0000-00002D000000}"/>
    <cellStyle name="Normal 3" xfId="46" xr:uid="{00000000-0005-0000-0000-00002E000000}"/>
    <cellStyle name="Normal 3 2" xfId="47" xr:uid="{00000000-0005-0000-0000-00002F000000}"/>
    <cellStyle name="Normal 3 2 2" xfId="48" xr:uid="{00000000-0005-0000-0000-000030000000}"/>
    <cellStyle name="Normal 3 2 3" xfId="49" xr:uid="{00000000-0005-0000-0000-000031000000}"/>
    <cellStyle name="Normal 3 2 4" xfId="50" xr:uid="{00000000-0005-0000-0000-000032000000}"/>
    <cellStyle name="Normal 3 2 4 2" xfId="51" xr:uid="{00000000-0005-0000-0000-000033000000}"/>
    <cellStyle name="Normal 3 2 4 3" xfId="52" xr:uid="{00000000-0005-0000-0000-000034000000}"/>
    <cellStyle name="Normal 3 2 5" xfId="53" xr:uid="{00000000-0005-0000-0000-000035000000}"/>
    <cellStyle name="Normal 3 3" xfId="54" xr:uid="{00000000-0005-0000-0000-000036000000}"/>
    <cellStyle name="Normal 3 4" xfId="55" xr:uid="{00000000-0005-0000-0000-000037000000}"/>
    <cellStyle name="Normal 3 5" xfId="56" xr:uid="{00000000-0005-0000-0000-000038000000}"/>
    <cellStyle name="Normal 3 6" xfId="57" xr:uid="{00000000-0005-0000-0000-000039000000}"/>
    <cellStyle name="Normal 4" xfId="58" xr:uid="{00000000-0005-0000-0000-00003A000000}"/>
    <cellStyle name="Normal 4 2" xfId="59" xr:uid="{00000000-0005-0000-0000-00003B000000}"/>
    <cellStyle name="Normal 4 2 2" xfId="60" xr:uid="{00000000-0005-0000-0000-00003C000000}"/>
    <cellStyle name="Normal 4 2 3" xfId="61" xr:uid="{00000000-0005-0000-0000-00003D000000}"/>
    <cellStyle name="Normal 4 3" xfId="62" xr:uid="{00000000-0005-0000-0000-00003E000000}"/>
    <cellStyle name="Normal 5" xfId="63" xr:uid="{00000000-0005-0000-0000-00003F000000}"/>
    <cellStyle name="Normal 5 2" xfId="64" xr:uid="{00000000-0005-0000-0000-000040000000}"/>
    <cellStyle name="Normal 5 3" xfId="65" xr:uid="{00000000-0005-0000-0000-000041000000}"/>
    <cellStyle name="Normal 5 4" xfId="66" xr:uid="{00000000-0005-0000-0000-000042000000}"/>
    <cellStyle name="Normal 6" xfId="67" xr:uid="{00000000-0005-0000-0000-000043000000}"/>
    <cellStyle name="Normal 6 2" xfId="68" xr:uid="{00000000-0005-0000-0000-000044000000}"/>
    <cellStyle name="Normal 6 3" xfId="69" xr:uid="{00000000-0005-0000-0000-000045000000}"/>
    <cellStyle name="Normal 6 3 2" xfId="70" xr:uid="{00000000-0005-0000-0000-000046000000}"/>
    <cellStyle name="Normal 6 3 3" xfId="71" xr:uid="{00000000-0005-0000-0000-000047000000}"/>
    <cellStyle name="Normal 7" xfId="72" xr:uid="{00000000-0005-0000-0000-000048000000}"/>
    <cellStyle name="Normal 7 2" xfId="73" xr:uid="{00000000-0005-0000-0000-000049000000}"/>
    <cellStyle name="Normal 8" xfId="74" xr:uid="{00000000-0005-0000-0000-00004A000000}"/>
    <cellStyle name="Normal 8 2" xfId="75" xr:uid="{00000000-0005-0000-0000-00004B000000}"/>
    <cellStyle name="Normal 9" xfId="76" xr:uid="{00000000-0005-0000-0000-00004C000000}"/>
    <cellStyle name="Normal 9 2" xfId="77" xr:uid="{00000000-0005-0000-0000-00004D000000}"/>
    <cellStyle name="Per cent" xfId="124" builtinId="5"/>
    <cellStyle name="Percent 10" xfId="78" xr:uid="{00000000-0005-0000-0000-00004E000000}"/>
    <cellStyle name="Percent 10 2" xfId="79" xr:uid="{00000000-0005-0000-0000-00004F000000}"/>
    <cellStyle name="Percent 10 3" xfId="80" xr:uid="{00000000-0005-0000-0000-000050000000}"/>
    <cellStyle name="Percent 10 4" xfId="81" xr:uid="{00000000-0005-0000-0000-000051000000}"/>
    <cellStyle name="Percent 2" xfId="82" xr:uid="{00000000-0005-0000-0000-000052000000}"/>
    <cellStyle name="Percent 2 2" xfId="83" xr:uid="{00000000-0005-0000-0000-000053000000}"/>
    <cellStyle name="Percent 2 3" xfId="84" xr:uid="{00000000-0005-0000-0000-000054000000}"/>
    <cellStyle name="Percent 2 3 2" xfId="85" xr:uid="{00000000-0005-0000-0000-000055000000}"/>
    <cellStyle name="Percent 2 3 3" xfId="86" xr:uid="{00000000-0005-0000-0000-000056000000}"/>
    <cellStyle name="Percent 2 3 4" xfId="87" xr:uid="{00000000-0005-0000-0000-000057000000}"/>
    <cellStyle name="Percent 2 4" xfId="88" xr:uid="{00000000-0005-0000-0000-000058000000}"/>
    <cellStyle name="Percent 2 5" xfId="89" xr:uid="{00000000-0005-0000-0000-000059000000}"/>
    <cellStyle name="Percent 2 5 2" xfId="90" xr:uid="{00000000-0005-0000-0000-00005A000000}"/>
    <cellStyle name="Percent 2 5 3" xfId="91" xr:uid="{00000000-0005-0000-0000-00005B000000}"/>
    <cellStyle name="Percent 2 6" xfId="92" xr:uid="{00000000-0005-0000-0000-00005C000000}"/>
    <cellStyle name="Percent 3" xfId="93" xr:uid="{00000000-0005-0000-0000-00005D000000}"/>
    <cellStyle name="Percent 3 2" xfId="94" xr:uid="{00000000-0005-0000-0000-00005E000000}"/>
    <cellStyle name="Percent 4" xfId="95" xr:uid="{00000000-0005-0000-0000-00005F000000}"/>
    <cellStyle name="Percent 4 2" xfId="96" xr:uid="{00000000-0005-0000-0000-000060000000}"/>
    <cellStyle name="Percent 5" xfId="97" xr:uid="{00000000-0005-0000-0000-000061000000}"/>
    <cellStyle name="Percent 5 2" xfId="98" xr:uid="{00000000-0005-0000-0000-000062000000}"/>
    <cellStyle name="Percent 5 2 2" xfId="99" xr:uid="{00000000-0005-0000-0000-000063000000}"/>
    <cellStyle name="Percent 5 2 3" xfId="100" xr:uid="{00000000-0005-0000-0000-000064000000}"/>
    <cellStyle name="Percent 5 2 3 2" xfId="101" xr:uid="{00000000-0005-0000-0000-000065000000}"/>
    <cellStyle name="Percent 5 2 3 3" xfId="102" xr:uid="{00000000-0005-0000-0000-000066000000}"/>
    <cellStyle name="Percent 5 3" xfId="103" xr:uid="{00000000-0005-0000-0000-000067000000}"/>
    <cellStyle name="Percent 5 3 2" xfId="104" xr:uid="{00000000-0005-0000-0000-000068000000}"/>
    <cellStyle name="Percent 6" xfId="105" xr:uid="{00000000-0005-0000-0000-000069000000}"/>
    <cellStyle name="Percent 6 2" xfId="106" xr:uid="{00000000-0005-0000-0000-00006A000000}"/>
    <cellStyle name="Percent 6 3" xfId="107" xr:uid="{00000000-0005-0000-0000-00006B000000}"/>
    <cellStyle name="Percent 6 3 2" xfId="108" xr:uid="{00000000-0005-0000-0000-00006C000000}"/>
    <cellStyle name="Percent 7" xfId="109" xr:uid="{00000000-0005-0000-0000-00006D000000}"/>
    <cellStyle name="Percent 7 2" xfId="110" xr:uid="{00000000-0005-0000-0000-00006E000000}"/>
    <cellStyle name="Percent 7 3" xfId="111" xr:uid="{00000000-0005-0000-0000-00006F000000}"/>
    <cellStyle name="Percent 7 4" xfId="112" xr:uid="{00000000-0005-0000-0000-000070000000}"/>
    <cellStyle name="Percent 7 4 2" xfId="113" xr:uid="{00000000-0005-0000-0000-000071000000}"/>
    <cellStyle name="Percent 7 4 3" xfId="114" xr:uid="{00000000-0005-0000-0000-000072000000}"/>
    <cellStyle name="Percent 7 5" xfId="115" xr:uid="{00000000-0005-0000-0000-000073000000}"/>
    <cellStyle name="Percent 7 5 2" xfId="116" xr:uid="{00000000-0005-0000-0000-000074000000}"/>
    <cellStyle name="Percent 8" xfId="117" xr:uid="{00000000-0005-0000-0000-000075000000}"/>
    <cellStyle name="Percent 8 2" xfId="118" xr:uid="{00000000-0005-0000-0000-000076000000}"/>
    <cellStyle name="Percent 8 3" xfId="119" xr:uid="{00000000-0005-0000-0000-000077000000}"/>
    <cellStyle name="Percent 8 3 2" xfId="120" xr:uid="{00000000-0005-0000-0000-000078000000}"/>
    <cellStyle name="Percent 9" xfId="121" xr:uid="{00000000-0005-0000-0000-000079000000}"/>
    <cellStyle name="Percent 9 2" xfId="122" xr:uid="{00000000-0005-0000-0000-00007A000000}"/>
  </cellStyles>
  <dxfs count="32">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strike val="0"/>
        <outline val="0"/>
        <shadow val="0"/>
        <u val="none"/>
        <vertAlign val="baseline"/>
        <sz val="11"/>
        <name val="Aptos"/>
        <family val="2"/>
        <scheme val="none"/>
      </font>
      <alignment horizontal="center" textRotation="0" indent="0" justifyLastLine="0" shrinkToFit="0" readingOrder="0"/>
    </dxf>
    <dxf>
      <font>
        <b/>
        <strike val="0"/>
        <outline val="0"/>
        <shadow val="0"/>
        <u val="none"/>
        <vertAlign val="baseline"/>
        <sz val="11"/>
        <name val="Aptos"/>
        <family val="2"/>
        <scheme val="none"/>
      </font>
      <alignment horizontal="center" textRotation="0" indent="0" justifyLastLine="0" shrinkToFit="0" readingOrder="0"/>
    </dxf>
    <dxf>
      <font>
        <b/>
        <strike val="0"/>
        <outline val="0"/>
        <shadow val="0"/>
        <u val="none"/>
        <vertAlign val="baseline"/>
        <sz val="11"/>
        <name val="Aptos"/>
        <family val="2"/>
        <scheme val="none"/>
      </font>
      <alignment horizontal="center" textRotation="0" indent="0" justifyLastLine="0" shrinkToFit="0" readingOrder="0"/>
    </dxf>
    <dxf>
      <font>
        <b/>
        <strike val="0"/>
        <outline val="0"/>
        <shadow val="0"/>
        <u val="none"/>
        <vertAlign val="baseline"/>
        <sz val="11"/>
        <name val="Aptos"/>
        <family val="2"/>
        <scheme val="none"/>
      </font>
    </dxf>
    <dxf>
      <font>
        <b/>
        <i val="0"/>
        <strike val="0"/>
        <condense val="0"/>
        <extend val="0"/>
        <outline val="0"/>
        <shadow val="0"/>
        <u val="none"/>
        <vertAlign val="baseline"/>
        <sz val="11"/>
        <color theme="1"/>
        <name val="Aptos"/>
        <family val="2"/>
        <scheme val="none"/>
      </font>
      <fill>
        <patternFill patternType="solid">
          <fgColor indexed="64"/>
          <bgColor theme="0"/>
        </patternFill>
      </fill>
      <border diagonalUp="0" diagonalDown="0" outline="0">
        <left style="thin">
          <color indexed="64"/>
        </left>
        <right/>
        <top/>
        <bottom style="thin">
          <color indexed="64"/>
        </bottom>
      </border>
    </dxf>
    <dxf>
      <border outline="0">
        <top style="thin">
          <color indexed="64"/>
        </top>
        <bottom style="thin">
          <color indexed="64"/>
        </bottom>
      </border>
    </dxf>
    <dxf>
      <font>
        <b/>
        <strike val="0"/>
        <outline val="0"/>
        <shadow val="0"/>
        <u val="none"/>
        <vertAlign val="baseline"/>
        <sz val="11"/>
        <name val="Aptos"/>
        <family val="2"/>
        <scheme val="none"/>
      </font>
    </dxf>
    <dxf>
      <font>
        <b/>
        <strike val="0"/>
        <outline val="0"/>
        <shadow val="0"/>
        <u val="none"/>
        <vertAlign val="baseline"/>
        <sz val="11"/>
        <name val="Aptos"/>
        <family val="2"/>
        <scheme val="none"/>
      </font>
      <fill>
        <patternFill patternType="solid">
          <fgColor indexed="64"/>
          <bgColor theme="0"/>
        </patternFill>
      </fill>
    </dxf>
  </dxfs>
  <tableStyles count="1" defaultTableStyle="TableStyleMedium9" defaultPivotStyle="PivotStyleLight16">
    <tableStyle name="Invisible" pivot="0" table="0" count="0" xr9:uid="{2E07A736-8B86-4465-8BED-A19F2E5E0FAC}"/>
  </tableStyles>
  <colors>
    <mruColors>
      <color rgb="FFAD9244"/>
      <color rgb="FF3A63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333333"/>
                </a:solidFill>
                <a:latin typeface="Calibri"/>
                <a:ea typeface="Calibri"/>
                <a:cs typeface="Calibri"/>
              </a:defRPr>
            </a:pPr>
            <a:r>
              <a:rPr lang="en-ZA"/>
              <a:t>Margin Comparison / Marge Vergelyking:  Eastern Free State Region</a:t>
            </a:r>
          </a:p>
        </c:rich>
      </c:tx>
      <c:overlay val="0"/>
      <c:spPr>
        <a:noFill/>
        <a:ln w="25400">
          <a:noFill/>
        </a:ln>
      </c:spPr>
    </c:title>
    <c:autoTitleDeleted val="0"/>
    <c:plotArea>
      <c:layout>
        <c:manualLayout>
          <c:layoutTarget val="inner"/>
          <c:xMode val="edge"/>
          <c:yMode val="edge"/>
          <c:x val="0.11253032797088575"/>
          <c:y val="0.10834119249397398"/>
          <c:w val="0.82062236981754888"/>
          <c:h val="0.81925350826629662"/>
        </c:manualLayout>
      </c:layout>
      <c:barChart>
        <c:barDir val="col"/>
        <c:grouping val="clustered"/>
        <c:varyColors val="0"/>
        <c:ser>
          <c:idx val="0"/>
          <c:order val="0"/>
          <c:tx>
            <c:strRef>
              <c:f>'Crop Comparison'!$A$34</c:f>
              <c:strCache>
                <c:ptCount val="1"/>
                <c:pt idx="0">
                  <c:v>3) GROSS MARGIN  (R/ha)</c:v>
                </c:pt>
              </c:strCache>
            </c:strRef>
          </c:tx>
          <c:spPr>
            <a:solidFill>
              <a:schemeClr val="bg1"/>
            </a:solidFill>
            <a:ln w="25400">
              <a:solidFill>
                <a:schemeClr val="accent1"/>
              </a:solidFill>
            </a:ln>
            <a:effectLst/>
          </c:spPr>
          <c:invertIfNegative val="0"/>
          <c:dLbls>
            <c:dLbl>
              <c:idx val="3"/>
              <c:spPr>
                <a:noFill/>
                <a:ln w="9525" cap="flat" cmpd="sng" algn="ctr">
                  <a:solidFill>
                    <a:schemeClr val="accent1">
                      <a:shade val="95000"/>
                      <a:satMod val="105000"/>
                    </a:schemeClr>
                  </a:solidFill>
                  <a:prstDash val="solid"/>
                </a:ln>
                <a:effectLst>
                  <a:outerShdw blurRad="40000" dist="20000" dir="5400000" rotWithShape="0">
                    <a:srgbClr val="000000">
                      <a:alpha val="38000"/>
                    </a:srgbClr>
                  </a:outerShdw>
                </a:effectLst>
              </c:spPr>
              <c:txPr>
                <a:bodyPr/>
                <a:lstStyle/>
                <a:p>
                  <a:pPr>
                    <a:defRPr sz="1050" b="1"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dLbl>
            <c:spPr>
              <a:noFill/>
              <a:ln w="9525" cap="flat" cmpd="sng" algn="ctr">
                <a:solidFill>
                  <a:schemeClr val="accent1">
                    <a:shade val="95000"/>
                    <a:satMod val="105000"/>
                  </a:schemeClr>
                </a:solidFill>
                <a:prstDash val="solid"/>
              </a:ln>
              <a:effectLst>
                <a:outerShdw blurRad="40000" dist="20000" dir="5400000" rotWithShape="0">
                  <a:srgbClr val="000000">
                    <a:alpha val="38000"/>
                  </a:srgbClr>
                </a:outerShdw>
              </a:effectLst>
            </c:spPr>
            <c:txPr>
              <a:bodyPr wrap="square" lIns="38100" tIns="19050" rIns="38100" bIns="19050" anchor="ctr">
                <a:spAutoFit/>
              </a:bodyPr>
              <a:lstStyle/>
              <a:p>
                <a:pPr>
                  <a:defRPr sz="1050" b="1"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'Crop Comparison'!$B$2:$F$2</c:f>
              <c:strCache>
                <c:ptCount val="5"/>
                <c:pt idx="0">
                  <c:v>Maize (conven)</c:v>
                </c:pt>
                <c:pt idx="1">
                  <c:v>Maize (Bt)</c:v>
                </c:pt>
                <c:pt idx="2">
                  <c:v>Sunflower</c:v>
                </c:pt>
                <c:pt idx="3">
                  <c:v>Soy bean</c:v>
                </c:pt>
                <c:pt idx="4">
                  <c:v>Irr-Maize</c:v>
                </c:pt>
              </c:strCache>
            </c:strRef>
          </c:cat>
          <c:val>
            <c:numRef>
              <c:f>'Crop Comparison'!$B$34:$F$34</c:f>
              <c:numCache>
                <c:formatCode>_-[$R-1C09]* #\ ##0_-;\-[$R-1C09]* #\ ##0_-;_-[$R-1C09]* "-"??_-;_-@_-</c:formatCode>
                <c:ptCount val="5"/>
                <c:pt idx="0">
                  <c:v>3899.8771942258645</c:v>
                </c:pt>
                <c:pt idx="1">
                  <c:v>2731.2295546684581</c:v>
                </c:pt>
                <c:pt idx="2">
                  <c:v>4289.4413350341692</c:v>
                </c:pt>
                <c:pt idx="3">
                  <c:v>3331.5017581225311</c:v>
                </c:pt>
                <c:pt idx="4">
                  <c:v>-9585.3398820544753</c:v>
                </c:pt>
              </c:numCache>
            </c:numRef>
          </c:val>
          <c:extLst>
            <c:ext xmlns:c16="http://schemas.microsoft.com/office/drawing/2014/chart" uri="{C3380CC4-5D6E-409C-BE32-E72D297353CC}">
              <c16:uniqueId val="{00000002-D736-41FC-BE48-CE453A3255F8}"/>
            </c:ext>
          </c:extLst>
        </c:ser>
        <c:ser>
          <c:idx val="1"/>
          <c:order val="1"/>
          <c:tx>
            <c:strRef>
              <c:f>'Crop Comparison'!$A$35</c:f>
              <c:strCache>
                <c:ptCount val="1"/>
                <c:pt idx="0">
                  <c:v>4) NETT MARGIN  (R/ha)</c:v>
                </c:pt>
              </c:strCache>
            </c:strRef>
          </c:tx>
          <c:spPr>
            <a:noFill/>
            <a:ln w="25400">
              <a:solidFill>
                <a:srgbClr val="FF0000"/>
              </a:solidFill>
            </a:ln>
          </c:spPr>
          <c:invertIfNegative val="0"/>
          <c:dLbls>
            <c:spPr>
              <a:noFill/>
              <a:ln>
                <a:solidFill>
                  <a:srgbClr val="FF0000"/>
                </a:solidFill>
              </a:ln>
            </c:spPr>
            <c:txPr>
              <a:bodyPr wrap="square" lIns="38100" tIns="19050" rIns="38100" bIns="19050" anchor="ctr">
                <a:spAutoFit/>
              </a:bodyPr>
              <a:lstStyle/>
              <a:p>
                <a:pPr>
                  <a:defRPr sz="1100" b="1"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'Crop Comparison'!$B$2:$F$2</c:f>
              <c:strCache>
                <c:ptCount val="5"/>
                <c:pt idx="0">
                  <c:v>Maize (conven)</c:v>
                </c:pt>
                <c:pt idx="1">
                  <c:v>Maize (Bt)</c:v>
                </c:pt>
                <c:pt idx="2">
                  <c:v>Sunflower</c:v>
                </c:pt>
                <c:pt idx="3">
                  <c:v>Soy bean</c:v>
                </c:pt>
                <c:pt idx="4">
                  <c:v>Irr-Maize</c:v>
                </c:pt>
              </c:strCache>
            </c:strRef>
          </c:cat>
          <c:val>
            <c:numRef>
              <c:f>'Crop Comparison'!$B$35:$F$35</c:f>
              <c:numCache>
                <c:formatCode>_-[$R-1C09]* #\ ##0_-;\-[$R-1C09]* #\ ##0_-;_-[$R-1C09]* "-"??_-;_-@_-</c:formatCode>
                <c:ptCount val="5"/>
                <c:pt idx="0">
                  <c:v>-3599.3051626741362</c:v>
                </c:pt>
                <c:pt idx="1">
                  <c:v>-4125.2026654315414</c:v>
                </c:pt>
                <c:pt idx="2">
                  <c:v>-1496.9067295658315</c:v>
                </c:pt>
                <c:pt idx="3">
                  <c:v>-895.16809187746912</c:v>
                </c:pt>
                <c:pt idx="4">
                  <c:v>-16393.282692054476</c:v>
                </c:pt>
              </c:numCache>
            </c:numRef>
          </c:val>
          <c:extLst>
            <c:ext xmlns:c16="http://schemas.microsoft.com/office/drawing/2014/chart" uri="{C3380CC4-5D6E-409C-BE32-E72D297353CC}">
              <c16:uniqueId val="{00000003-D736-41FC-BE48-CE453A3255F8}"/>
            </c:ext>
          </c:extLst>
        </c:ser>
        <c:dLbls>
          <c:showLegendKey val="0"/>
          <c:showVal val="0"/>
          <c:showCatName val="0"/>
          <c:showSerName val="0"/>
          <c:showPercent val="0"/>
          <c:showBubbleSize val="0"/>
        </c:dLbls>
        <c:gapWidth val="150"/>
        <c:axId val="134204975"/>
        <c:axId val="1"/>
      </c:barChart>
      <c:catAx>
        <c:axId val="134204975"/>
        <c:scaling>
          <c:orientation val="minMax"/>
        </c:scaling>
        <c:delete val="0"/>
        <c:axPos val="b"/>
        <c:numFmt formatCode="General" sourceLinked="1"/>
        <c:majorTickMark val="none"/>
        <c:minorTickMark val="none"/>
        <c:tickLblPos val="nextTo"/>
        <c:spPr>
          <a:ln w="9525">
            <a:noFill/>
          </a:ln>
        </c:spPr>
        <c:txPr>
          <a:bodyPr rot="0" vert="horz"/>
          <a:lstStyle/>
          <a:p>
            <a:pPr>
              <a:defRPr sz="1050" b="1" i="0" u="none" strike="noStrike" baseline="0">
                <a:solidFill>
                  <a:srgbClr val="333333"/>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R-1C09]* #\ ##0_-;\-[$R-1C09]* #\ ##0_-;_-[$R-1C09]* &quot;-&quot;??_-;_-@_-" sourceLinked="1"/>
        <c:majorTickMark val="none"/>
        <c:minorTickMark val="none"/>
        <c:tickLblPos val="nextTo"/>
        <c:spPr>
          <a:ln w="9525">
            <a:noFill/>
          </a:ln>
        </c:spPr>
        <c:txPr>
          <a:bodyPr rot="0" vert="horz"/>
          <a:lstStyle/>
          <a:p>
            <a:pPr>
              <a:defRPr sz="1100" b="0" i="0" u="none" strike="noStrike" baseline="0">
                <a:solidFill>
                  <a:srgbClr val="333333"/>
                </a:solidFill>
                <a:latin typeface="Calibri"/>
                <a:ea typeface="Calibri"/>
                <a:cs typeface="Calibri"/>
              </a:defRPr>
            </a:pPr>
            <a:endParaRPr lang="en-US"/>
          </a:p>
        </c:txPr>
        <c:crossAx val="134204975"/>
        <c:crosses val="autoZero"/>
        <c:crossBetween val="between"/>
      </c:valAx>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Sunflower profitability</a:t>
            </a:r>
          </a:p>
        </c:rich>
      </c:tx>
      <c:overlay val="0"/>
    </c:title>
    <c:autoTitleDeleted val="0"/>
    <c:plotArea>
      <c:layout/>
      <c:doughnutChart>
        <c:varyColors val="1"/>
        <c:ser>
          <c:idx val="0"/>
          <c:order val="0"/>
          <c:tx>
            <c:strRef>
              <c:f>Grafieke!$A$18</c:f>
              <c:strCache>
                <c:ptCount val="1"/>
                <c:pt idx="0">
                  <c:v>Winsgewendheid: Sonneblom</c:v>
                </c:pt>
              </c:strCache>
            </c:strRef>
          </c:tx>
          <c:spPr>
            <a:solidFill>
              <a:srgbClr val="FFFF00"/>
            </a:solidFill>
          </c:spPr>
          <c:dPt>
            <c:idx val="0"/>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F641-4FCD-BC3B-73F969989EA1}"/>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F641-4FCD-BC3B-73F969989EA1}"/>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F641-4FCD-BC3B-73F969989EA1}"/>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F641-4FCD-BC3B-73F969989EA1}"/>
              </c:ext>
            </c:extLst>
          </c:dPt>
          <c:dPt>
            <c:idx val="4"/>
            <c:bubble3D val="0"/>
            <c:spPr>
              <a:noFill/>
              <a:ln>
                <a:noFill/>
              </a:ln>
              <a:effectLst/>
            </c:spPr>
            <c:extLst>
              <c:ext xmlns:c16="http://schemas.microsoft.com/office/drawing/2014/chart" uri="{C3380CC4-5D6E-409C-BE32-E72D297353CC}">
                <c16:uniqueId val="{00000009-F641-4FCD-BC3B-73F969989EA1}"/>
              </c:ext>
            </c:extLst>
          </c:dPt>
          <c:dLbls>
            <c:dLbl>
              <c:idx val="0"/>
              <c:delete val="1"/>
              <c:extLst>
                <c:ext xmlns:c15="http://schemas.microsoft.com/office/drawing/2012/chart" uri="{CE6537A1-D6FC-4f65-9D91-7224C49458BB}"/>
                <c:ext xmlns:c16="http://schemas.microsoft.com/office/drawing/2014/chart" uri="{C3380CC4-5D6E-409C-BE32-E72D297353CC}">
                  <c16:uniqueId val="{00000001-F641-4FCD-BC3B-73F969989EA1}"/>
                </c:ext>
              </c:extLst>
            </c:dLbl>
            <c:dLbl>
              <c:idx val="1"/>
              <c:tx>
                <c:rich>
                  <a:bodyPr/>
                  <a:lstStyle/>
                  <a:p>
                    <a:r>
                      <a:rPr lang="en-US"/>
                      <a:t>Variable cost</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641-4FCD-BC3B-73F969989EA1}"/>
                </c:ext>
              </c:extLst>
            </c:dLbl>
            <c:dLbl>
              <c:idx val="2"/>
              <c:tx>
                <c:rich>
                  <a:bodyPr/>
                  <a:lstStyle/>
                  <a:p>
                    <a:r>
                      <a:rPr lang="en-US"/>
                      <a:t>Fixed</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F641-4FCD-BC3B-73F969989EA1}"/>
                </c:ext>
              </c:extLst>
            </c:dLbl>
            <c:dLbl>
              <c:idx val="3"/>
              <c:tx>
                <c:rich>
                  <a:bodyPr/>
                  <a:lstStyle/>
                  <a:p>
                    <a:r>
                      <a:rPr lang="en-US"/>
                      <a:t>Profit</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F641-4FCD-BC3B-73F969989EA1}"/>
                </c:ext>
              </c:extLst>
            </c:dLbl>
            <c:dLbl>
              <c:idx val="4"/>
              <c:delete val="1"/>
              <c:extLst>
                <c:ext xmlns:c15="http://schemas.microsoft.com/office/drawing/2012/chart" uri="{CE6537A1-D6FC-4f65-9D91-7224C49458BB}"/>
                <c:ext xmlns:c16="http://schemas.microsoft.com/office/drawing/2014/chart" uri="{C3380CC4-5D6E-409C-BE32-E72D297353CC}">
                  <c16:uniqueId val="{00000009-F641-4FCD-BC3B-73F969989EA1}"/>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Grafieke!$C$19:$C$23</c:f>
              <c:numCache>
                <c:formatCode>0</c:formatCode>
                <c:ptCount val="5"/>
                <c:pt idx="0" formatCode="General">
                  <c:v>0</c:v>
                </c:pt>
                <c:pt idx="1">
                  <c:v>32.44214458325029</c:v>
                </c:pt>
                <c:pt idx="2">
                  <c:v>20.166333113894783</c:v>
                </c:pt>
                <c:pt idx="3">
                  <c:v>47.391522302854924</c:v>
                </c:pt>
                <c:pt idx="4" formatCode="General">
                  <c:v>100</c:v>
                </c:pt>
              </c:numCache>
            </c:numRef>
          </c:val>
          <c:extLst>
            <c:ext xmlns:c16="http://schemas.microsoft.com/office/drawing/2014/chart" uri="{C3380CC4-5D6E-409C-BE32-E72D297353CC}">
              <c16:uniqueId val="{0000000A-F641-4FCD-BC3B-73F969989EA1}"/>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Grafieke!$D$18</c:f>
              <c:strCache>
                <c:ptCount val="1"/>
                <c:pt idx="0">
                  <c:v>Pointer</c:v>
                </c:pt>
              </c:strCache>
            </c:strRef>
          </c:tx>
          <c:dPt>
            <c:idx val="0"/>
            <c:bubble3D val="0"/>
            <c:spPr>
              <a:noFill/>
              <a:ln>
                <a:noFill/>
              </a:ln>
              <a:effectLst/>
            </c:spPr>
            <c:extLst>
              <c:ext xmlns:c16="http://schemas.microsoft.com/office/drawing/2014/chart" uri="{C3380CC4-5D6E-409C-BE32-E72D297353CC}">
                <c16:uniqueId val="{0000000C-F641-4FCD-BC3B-73F969989EA1}"/>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F641-4FCD-BC3B-73F969989EA1}"/>
              </c:ext>
            </c:extLst>
          </c:dPt>
          <c:dPt>
            <c:idx val="2"/>
            <c:bubble3D val="0"/>
            <c:spPr>
              <a:noFill/>
              <a:ln>
                <a:noFill/>
              </a:ln>
              <a:effectLst/>
            </c:spPr>
            <c:extLst>
              <c:ext xmlns:c16="http://schemas.microsoft.com/office/drawing/2014/chart" uri="{C3380CC4-5D6E-409C-BE32-E72D297353CC}">
                <c16:uniqueId val="{00000010-F641-4FCD-BC3B-73F969989EA1}"/>
              </c:ext>
            </c:extLst>
          </c:dPt>
          <c:val>
            <c:numRef>
              <c:f>Grafieke!$F$19:$F$21</c:f>
              <c:numCache>
                <c:formatCode>General</c:formatCode>
                <c:ptCount val="3"/>
                <c:pt idx="0" formatCode="0">
                  <c:v>47.391522302854924</c:v>
                </c:pt>
                <c:pt idx="1">
                  <c:v>1</c:v>
                </c:pt>
                <c:pt idx="2" formatCode="0">
                  <c:v>151.60847769714508</c:v>
                </c:pt>
              </c:numCache>
            </c:numRef>
          </c:val>
          <c:extLst>
            <c:ext xmlns:c16="http://schemas.microsoft.com/office/drawing/2014/chart" uri="{C3380CC4-5D6E-409C-BE32-E72D297353CC}">
              <c16:uniqueId val="{00000011-F641-4FCD-BC3B-73F969989EA1}"/>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Soybean profitability</a:t>
            </a:r>
          </a:p>
        </c:rich>
      </c:tx>
      <c:overlay val="0"/>
    </c:title>
    <c:autoTitleDeleted val="0"/>
    <c:plotArea>
      <c:layout/>
      <c:doughnutChart>
        <c:varyColors val="1"/>
        <c:ser>
          <c:idx val="0"/>
          <c:order val="0"/>
          <c:tx>
            <c:strRef>
              <c:f>Grafieke!$A$35</c:f>
              <c:strCache>
                <c:ptCount val="1"/>
                <c:pt idx="0">
                  <c:v>Winsgewendheid: Sojabone</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3328-46AB-827E-D874170FD17E}"/>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3328-46AB-827E-D874170FD17E}"/>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3328-46AB-827E-D874170FD17E}"/>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3328-46AB-827E-D874170FD17E}"/>
              </c:ext>
            </c:extLst>
          </c:dPt>
          <c:dPt>
            <c:idx val="4"/>
            <c:bubble3D val="0"/>
            <c:spPr>
              <a:noFill/>
              <a:ln>
                <a:noFill/>
              </a:ln>
              <a:effectLst/>
            </c:spPr>
            <c:extLst>
              <c:ext xmlns:c16="http://schemas.microsoft.com/office/drawing/2014/chart" uri="{C3380CC4-5D6E-409C-BE32-E72D297353CC}">
                <c16:uniqueId val="{00000009-3328-46AB-827E-D874170FD17E}"/>
              </c:ext>
            </c:extLst>
          </c:dPt>
          <c:dLbls>
            <c:dLbl>
              <c:idx val="0"/>
              <c:delete val="1"/>
              <c:extLst>
                <c:ext xmlns:c15="http://schemas.microsoft.com/office/drawing/2012/chart" uri="{CE6537A1-D6FC-4f65-9D91-7224C49458BB}"/>
                <c:ext xmlns:c16="http://schemas.microsoft.com/office/drawing/2014/chart" uri="{C3380CC4-5D6E-409C-BE32-E72D297353CC}">
                  <c16:uniqueId val="{00000001-3328-46AB-827E-D874170FD17E}"/>
                </c:ext>
              </c:extLst>
            </c:dLbl>
            <c:dLbl>
              <c:idx val="1"/>
              <c:tx>
                <c:rich>
                  <a:bodyPr/>
                  <a:lstStyle/>
                  <a:p>
                    <a:r>
                      <a:rPr lang="en-US"/>
                      <a:t>Variable</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3328-46AB-827E-D874170FD17E}"/>
                </c:ext>
              </c:extLst>
            </c:dLbl>
            <c:dLbl>
              <c:idx val="2"/>
              <c:tx>
                <c:rich>
                  <a:bodyPr/>
                  <a:lstStyle/>
                  <a:p>
                    <a:r>
                      <a:rPr lang="en-US"/>
                      <a:t>Fixed</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3328-46AB-827E-D874170FD17E}"/>
                </c:ext>
              </c:extLst>
            </c:dLbl>
            <c:dLbl>
              <c:idx val="3"/>
              <c:tx>
                <c:rich>
                  <a:bodyPr/>
                  <a:lstStyle/>
                  <a:p>
                    <a:r>
                      <a:rPr lang="en-US"/>
                      <a:t>Profit</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3328-46AB-827E-D874170FD17E}"/>
                </c:ext>
              </c:extLst>
            </c:dLbl>
            <c:dLbl>
              <c:idx val="4"/>
              <c:delete val="1"/>
              <c:extLst>
                <c:ext xmlns:c15="http://schemas.microsoft.com/office/drawing/2012/chart" uri="{CE6537A1-D6FC-4f65-9D91-7224C49458BB}"/>
                <c:ext xmlns:c16="http://schemas.microsoft.com/office/drawing/2014/chart" uri="{C3380CC4-5D6E-409C-BE32-E72D297353CC}">
                  <c16:uniqueId val="{00000009-3328-46AB-827E-D874170FD17E}"/>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Grafieke!$C$36:$C$40</c:f>
              <c:numCache>
                <c:formatCode>0</c:formatCode>
                <c:ptCount val="5"/>
                <c:pt idx="0" formatCode="General">
                  <c:v>0</c:v>
                </c:pt>
                <c:pt idx="1">
                  <c:v>39.012449149891957</c:v>
                </c:pt>
                <c:pt idx="2">
                  <c:v>12.288884749212393</c:v>
                </c:pt>
                <c:pt idx="3">
                  <c:v>48.698666100895657</c:v>
                </c:pt>
                <c:pt idx="4" formatCode="General">
                  <c:v>100</c:v>
                </c:pt>
              </c:numCache>
            </c:numRef>
          </c:val>
          <c:extLst>
            <c:ext xmlns:c16="http://schemas.microsoft.com/office/drawing/2014/chart" uri="{C3380CC4-5D6E-409C-BE32-E72D297353CC}">
              <c16:uniqueId val="{0000000A-3328-46AB-827E-D874170FD17E}"/>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Grafieke!$D$35</c:f>
              <c:strCache>
                <c:ptCount val="1"/>
                <c:pt idx="0">
                  <c:v>Pointer</c:v>
                </c:pt>
              </c:strCache>
            </c:strRef>
          </c:tx>
          <c:dPt>
            <c:idx val="0"/>
            <c:bubble3D val="0"/>
            <c:spPr>
              <a:noFill/>
            </c:spPr>
            <c:extLst>
              <c:ext xmlns:c16="http://schemas.microsoft.com/office/drawing/2014/chart" uri="{C3380CC4-5D6E-409C-BE32-E72D297353CC}">
                <c16:uniqueId val="{0000000C-3328-46AB-827E-D874170FD17E}"/>
              </c:ext>
            </c:extLst>
          </c:dPt>
          <c:dPt>
            <c:idx val="1"/>
            <c:bubble3D val="0"/>
            <c:spPr>
              <a:solidFill>
                <a:schemeClr val="tx1"/>
              </a:solidFill>
            </c:spPr>
            <c:extLst>
              <c:ext xmlns:c16="http://schemas.microsoft.com/office/drawing/2014/chart" uri="{C3380CC4-5D6E-409C-BE32-E72D297353CC}">
                <c16:uniqueId val="{0000000E-3328-46AB-827E-D874170FD17E}"/>
              </c:ext>
            </c:extLst>
          </c:dPt>
          <c:dPt>
            <c:idx val="2"/>
            <c:bubble3D val="0"/>
            <c:spPr>
              <a:noFill/>
            </c:spPr>
            <c:extLst>
              <c:ext xmlns:c16="http://schemas.microsoft.com/office/drawing/2014/chart" uri="{C3380CC4-5D6E-409C-BE32-E72D297353CC}">
                <c16:uniqueId val="{00000010-3328-46AB-827E-D874170FD17E}"/>
              </c:ext>
            </c:extLst>
          </c:dPt>
          <c:val>
            <c:numRef>
              <c:f>Grafieke!$F$36:$F$38</c:f>
              <c:numCache>
                <c:formatCode>General</c:formatCode>
                <c:ptCount val="3"/>
                <c:pt idx="0" formatCode="0">
                  <c:v>48.698666100895657</c:v>
                </c:pt>
                <c:pt idx="1">
                  <c:v>1</c:v>
                </c:pt>
                <c:pt idx="2" formatCode="0">
                  <c:v>150.30133389910435</c:v>
                </c:pt>
              </c:numCache>
            </c:numRef>
          </c:val>
          <c:extLst>
            <c:ext xmlns:c16="http://schemas.microsoft.com/office/drawing/2014/chart" uri="{C3380CC4-5D6E-409C-BE32-E72D297353CC}">
              <c16:uniqueId val="{00000011-3328-46AB-827E-D874170FD17E}"/>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BT Mieliewinsgewendheid</a:t>
            </a:r>
          </a:p>
        </c:rich>
      </c:tx>
      <c:overlay val="0"/>
    </c:title>
    <c:autoTitleDeleted val="0"/>
    <c:plotArea>
      <c:layout/>
      <c:doughnutChart>
        <c:varyColors val="1"/>
        <c:ser>
          <c:idx val="0"/>
          <c:order val="0"/>
          <c:tx>
            <c:strRef>
              <c:f>Grafieke!$A$1</c:f>
              <c:strCache>
                <c:ptCount val="1"/>
                <c:pt idx="0">
                  <c:v>Winsgewendheid: Mielies</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8157-4F96-B7CD-CFBAF422A0FA}"/>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8157-4F96-B7CD-CFBAF422A0FA}"/>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8157-4F96-B7CD-CFBAF422A0FA}"/>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8157-4F96-B7CD-CFBAF422A0FA}"/>
              </c:ext>
            </c:extLst>
          </c:dPt>
          <c:dPt>
            <c:idx val="4"/>
            <c:bubble3D val="0"/>
            <c:spPr>
              <a:noFill/>
              <a:ln>
                <a:noFill/>
              </a:ln>
              <a:effectLst/>
            </c:spPr>
            <c:extLst>
              <c:ext xmlns:c16="http://schemas.microsoft.com/office/drawing/2014/chart" uri="{C3380CC4-5D6E-409C-BE32-E72D297353CC}">
                <c16:uniqueId val="{00000009-8157-4F96-B7CD-CFBAF422A0FA}"/>
              </c:ext>
            </c:extLst>
          </c:dPt>
          <c:dLbls>
            <c:dLbl>
              <c:idx val="0"/>
              <c:delete val="1"/>
              <c:extLst>
                <c:ext xmlns:c15="http://schemas.microsoft.com/office/drawing/2012/chart" uri="{CE6537A1-D6FC-4f65-9D91-7224C49458BB}"/>
                <c:ext xmlns:c16="http://schemas.microsoft.com/office/drawing/2014/chart" uri="{C3380CC4-5D6E-409C-BE32-E72D297353CC}">
                  <c16:uniqueId val="{00000001-8157-4F96-B7CD-CFBAF422A0FA}"/>
                </c:ext>
              </c:extLst>
            </c:dLbl>
            <c:dLbl>
              <c:idx val="1"/>
              <c:layout>
                <c:manualLayout>
                  <c:x val="-1.4149913317853811E-2"/>
                  <c:y val="8.5108742105585403E-2"/>
                </c:manualLayout>
              </c:layout>
              <c:tx>
                <c:rich>
                  <a:bodyPr/>
                  <a:lstStyle/>
                  <a:p>
                    <a:r>
                      <a:rPr lang="en-US" sz="1100">
                        <a:solidFill>
                          <a:schemeClr val="tx1"/>
                        </a:solidFill>
                      </a:rPr>
                      <a:t>Veranderlike</a:t>
                    </a:r>
                    <a:r>
                      <a:rPr lang="en-US" sz="1100" baseline="0">
                        <a:solidFill>
                          <a:schemeClr val="tx1"/>
                        </a:solidFill>
                      </a:rPr>
                      <a:t> koste</a:t>
                    </a:r>
                    <a:endParaRPr lang="en-US" sz="1100">
                      <a:solidFill>
                        <a:schemeClr val="tx1"/>
                      </a:solidFill>
                    </a:endParaRP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8157-4F96-B7CD-CFBAF422A0FA}"/>
                </c:ext>
              </c:extLst>
            </c:dLbl>
            <c:dLbl>
              <c:idx val="2"/>
              <c:tx>
                <c:rich>
                  <a:bodyPr/>
                  <a:lstStyle/>
                  <a:p>
                    <a:r>
                      <a:rPr lang="en-US" sz="1100">
                        <a:solidFill>
                          <a:schemeClr val="tx1"/>
                        </a:solidFill>
                      </a:rPr>
                      <a:t>Vaste</a:t>
                    </a:r>
                    <a:r>
                      <a:rPr lang="en-US" sz="1100" baseline="0">
                        <a:solidFill>
                          <a:schemeClr val="tx1"/>
                        </a:solidFill>
                      </a:rPr>
                      <a:t> koste</a:t>
                    </a:r>
                    <a:endParaRPr lang="en-US" sz="1100">
                      <a:solidFill>
                        <a:schemeClr val="tx1"/>
                      </a:solidFill>
                    </a:endParaRP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8157-4F96-B7CD-CFBAF422A0FA}"/>
                </c:ext>
              </c:extLst>
            </c:dLbl>
            <c:dLbl>
              <c:idx val="3"/>
              <c:tx>
                <c:rich>
                  <a:bodyPr/>
                  <a:lstStyle/>
                  <a:p>
                    <a:r>
                      <a:rPr lang="en-US" sz="1100">
                        <a:solidFill>
                          <a:schemeClr val="tx1"/>
                        </a:solidFill>
                      </a:rPr>
                      <a:t>Wins</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8157-4F96-B7CD-CFBAF422A0FA}"/>
                </c:ext>
              </c:extLst>
            </c:dLbl>
            <c:dLbl>
              <c:idx val="4"/>
              <c:delete val="1"/>
              <c:extLst>
                <c:ext xmlns:c15="http://schemas.microsoft.com/office/drawing/2012/chart" uri="{CE6537A1-D6FC-4f65-9D91-7224C49458BB}"/>
                <c:ext xmlns:c16="http://schemas.microsoft.com/office/drawing/2014/chart" uri="{C3380CC4-5D6E-409C-BE32-E72D297353CC}">
                  <c16:uniqueId val="{00000009-8157-4F96-B7CD-CFBAF422A0FA}"/>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Grafieke!$C$2:$C$6</c:f>
              <c:numCache>
                <c:formatCode>0</c:formatCode>
                <c:ptCount val="5"/>
                <c:pt idx="0" formatCode="General">
                  <c:v>0</c:v>
                </c:pt>
                <c:pt idx="1">
                  <c:v>40.878710256081561</c:v>
                </c:pt>
                <c:pt idx="2">
                  <c:v>13.045830434622395</c:v>
                </c:pt>
                <c:pt idx="3">
                  <c:v>46.075459309296043</c:v>
                </c:pt>
                <c:pt idx="4" formatCode="General">
                  <c:v>100</c:v>
                </c:pt>
              </c:numCache>
            </c:numRef>
          </c:val>
          <c:extLst>
            <c:ext xmlns:c16="http://schemas.microsoft.com/office/drawing/2014/chart" uri="{C3380CC4-5D6E-409C-BE32-E72D297353CC}">
              <c16:uniqueId val="{0000000A-8157-4F96-B7CD-CFBAF422A0FA}"/>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Grafieke!$D$1</c:f>
              <c:strCache>
                <c:ptCount val="1"/>
                <c:pt idx="0">
                  <c:v>Pointer</c:v>
                </c:pt>
              </c:strCache>
            </c:strRef>
          </c:tx>
          <c:dPt>
            <c:idx val="0"/>
            <c:bubble3D val="0"/>
            <c:spPr>
              <a:noFill/>
              <a:ln>
                <a:noFill/>
              </a:ln>
              <a:effectLst/>
            </c:spPr>
            <c:extLst>
              <c:ext xmlns:c16="http://schemas.microsoft.com/office/drawing/2014/chart" uri="{C3380CC4-5D6E-409C-BE32-E72D297353CC}">
                <c16:uniqueId val="{0000000C-8157-4F96-B7CD-CFBAF422A0FA}"/>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8157-4F96-B7CD-CFBAF422A0FA}"/>
              </c:ext>
            </c:extLst>
          </c:dPt>
          <c:dPt>
            <c:idx val="2"/>
            <c:bubble3D val="0"/>
            <c:spPr>
              <a:noFill/>
              <a:ln>
                <a:noFill/>
              </a:ln>
              <a:effectLst/>
            </c:spPr>
            <c:extLst>
              <c:ext xmlns:c16="http://schemas.microsoft.com/office/drawing/2014/chart" uri="{C3380CC4-5D6E-409C-BE32-E72D297353CC}">
                <c16:uniqueId val="{00000010-8157-4F96-B7CD-CFBAF422A0FA}"/>
              </c:ext>
            </c:extLst>
          </c:dPt>
          <c:val>
            <c:numRef>
              <c:f>Grafieke!$F$2:$F$4</c:f>
              <c:numCache>
                <c:formatCode>General</c:formatCode>
                <c:ptCount val="3"/>
                <c:pt idx="0" formatCode="0">
                  <c:v>46.075459309296043</c:v>
                </c:pt>
                <c:pt idx="1">
                  <c:v>1</c:v>
                </c:pt>
                <c:pt idx="2" formatCode="0">
                  <c:v>152.92454069070396</c:v>
                </c:pt>
              </c:numCache>
            </c:numRef>
          </c:val>
          <c:extLst>
            <c:ext xmlns:c16="http://schemas.microsoft.com/office/drawing/2014/chart" uri="{C3380CC4-5D6E-409C-BE32-E72D297353CC}">
              <c16:uniqueId val="{00000011-8157-4F96-B7CD-CFBAF422A0FA}"/>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Sonneblomwinsgewendheid</a:t>
            </a:r>
          </a:p>
        </c:rich>
      </c:tx>
      <c:overlay val="0"/>
    </c:title>
    <c:autoTitleDeleted val="0"/>
    <c:plotArea>
      <c:layout/>
      <c:doughnutChart>
        <c:varyColors val="1"/>
        <c:ser>
          <c:idx val="0"/>
          <c:order val="0"/>
          <c:tx>
            <c:strRef>
              <c:f>Grafieke!$A$18</c:f>
              <c:strCache>
                <c:ptCount val="1"/>
                <c:pt idx="0">
                  <c:v>Winsgewendheid: Sonneblom</c:v>
                </c:pt>
              </c:strCache>
            </c:strRef>
          </c:tx>
          <c:spPr>
            <a:solidFill>
              <a:srgbClr val="FFFF00"/>
            </a:solidFill>
          </c:spPr>
          <c:dPt>
            <c:idx val="0"/>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5982-451B-AFE4-EF4BA26EC4D5}"/>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5982-451B-AFE4-EF4BA26EC4D5}"/>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5982-451B-AFE4-EF4BA26EC4D5}"/>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5982-451B-AFE4-EF4BA26EC4D5}"/>
              </c:ext>
            </c:extLst>
          </c:dPt>
          <c:dPt>
            <c:idx val="4"/>
            <c:bubble3D val="0"/>
            <c:spPr>
              <a:noFill/>
              <a:ln>
                <a:noFill/>
              </a:ln>
              <a:effectLst/>
            </c:spPr>
            <c:extLst>
              <c:ext xmlns:c16="http://schemas.microsoft.com/office/drawing/2014/chart" uri="{C3380CC4-5D6E-409C-BE32-E72D297353CC}">
                <c16:uniqueId val="{00000009-5982-451B-AFE4-EF4BA26EC4D5}"/>
              </c:ext>
            </c:extLst>
          </c:dPt>
          <c:dLbls>
            <c:dLbl>
              <c:idx val="0"/>
              <c:delete val="1"/>
              <c:extLst>
                <c:ext xmlns:c15="http://schemas.microsoft.com/office/drawing/2012/chart" uri="{CE6537A1-D6FC-4f65-9D91-7224C49458BB}"/>
                <c:ext xmlns:c16="http://schemas.microsoft.com/office/drawing/2014/chart" uri="{C3380CC4-5D6E-409C-BE32-E72D297353CC}">
                  <c16:uniqueId val="{00000001-5982-451B-AFE4-EF4BA26EC4D5}"/>
                </c:ext>
              </c:extLst>
            </c:dLbl>
            <c:dLbl>
              <c:idx val="1"/>
              <c:tx>
                <c:rich>
                  <a:bodyPr/>
                  <a:lstStyle/>
                  <a:p>
                    <a:r>
                      <a:rPr lang="en-US"/>
                      <a:t>Veranderlike</a:t>
                    </a:r>
                    <a:r>
                      <a:rPr lang="en-US" baseline="0"/>
                      <a:t> koste</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5982-451B-AFE4-EF4BA26EC4D5}"/>
                </c:ext>
              </c:extLst>
            </c:dLbl>
            <c:dLbl>
              <c:idx val="2"/>
              <c:tx>
                <c:rich>
                  <a:bodyPr/>
                  <a:lstStyle/>
                  <a:p>
                    <a:r>
                      <a:rPr lang="en-US"/>
                      <a:t>Vaste</a:t>
                    </a:r>
                    <a:r>
                      <a:rPr lang="en-US" baseline="0"/>
                      <a:t> koste</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5982-451B-AFE4-EF4BA26EC4D5}"/>
                </c:ext>
              </c:extLst>
            </c:dLbl>
            <c:dLbl>
              <c:idx val="3"/>
              <c:tx>
                <c:rich>
                  <a:bodyPr/>
                  <a:lstStyle/>
                  <a:p>
                    <a:r>
                      <a:rPr lang="en-US"/>
                      <a:t>Wins</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5982-451B-AFE4-EF4BA26EC4D5}"/>
                </c:ext>
              </c:extLst>
            </c:dLbl>
            <c:dLbl>
              <c:idx val="4"/>
              <c:delete val="1"/>
              <c:extLst>
                <c:ext xmlns:c15="http://schemas.microsoft.com/office/drawing/2012/chart" uri="{CE6537A1-D6FC-4f65-9D91-7224C49458BB}"/>
                <c:ext xmlns:c16="http://schemas.microsoft.com/office/drawing/2014/chart" uri="{C3380CC4-5D6E-409C-BE32-E72D297353CC}">
                  <c16:uniqueId val="{00000009-5982-451B-AFE4-EF4BA26EC4D5}"/>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Grafieke!$C$19:$C$23</c:f>
              <c:numCache>
                <c:formatCode>0</c:formatCode>
                <c:ptCount val="5"/>
                <c:pt idx="0" formatCode="General">
                  <c:v>0</c:v>
                </c:pt>
                <c:pt idx="1">
                  <c:v>32.44214458325029</c:v>
                </c:pt>
                <c:pt idx="2">
                  <c:v>20.166333113894783</c:v>
                </c:pt>
                <c:pt idx="3">
                  <c:v>47.391522302854924</c:v>
                </c:pt>
                <c:pt idx="4" formatCode="General">
                  <c:v>100</c:v>
                </c:pt>
              </c:numCache>
            </c:numRef>
          </c:val>
          <c:extLst>
            <c:ext xmlns:c16="http://schemas.microsoft.com/office/drawing/2014/chart" uri="{C3380CC4-5D6E-409C-BE32-E72D297353CC}">
              <c16:uniqueId val="{0000000A-5982-451B-AFE4-EF4BA26EC4D5}"/>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Grafieke!$D$18</c:f>
              <c:strCache>
                <c:ptCount val="1"/>
                <c:pt idx="0">
                  <c:v>Pointer</c:v>
                </c:pt>
              </c:strCache>
            </c:strRef>
          </c:tx>
          <c:dPt>
            <c:idx val="0"/>
            <c:bubble3D val="0"/>
            <c:spPr>
              <a:noFill/>
              <a:ln>
                <a:noFill/>
              </a:ln>
              <a:effectLst/>
            </c:spPr>
            <c:extLst>
              <c:ext xmlns:c16="http://schemas.microsoft.com/office/drawing/2014/chart" uri="{C3380CC4-5D6E-409C-BE32-E72D297353CC}">
                <c16:uniqueId val="{0000000C-5982-451B-AFE4-EF4BA26EC4D5}"/>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5982-451B-AFE4-EF4BA26EC4D5}"/>
              </c:ext>
            </c:extLst>
          </c:dPt>
          <c:dPt>
            <c:idx val="2"/>
            <c:bubble3D val="0"/>
            <c:spPr>
              <a:noFill/>
              <a:ln>
                <a:noFill/>
              </a:ln>
              <a:effectLst/>
            </c:spPr>
            <c:extLst>
              <c:ext xmlns:c16="http://schemas.microsoft.com/office/drawing/2014/chart" uri="{C3380CC4-5D6E-409C-BE32-E72D297353CC}">
                <c16:uniqueId val="{00000010-5982-451B-AFE4-EF4BA26EC4D5}"/>
              </c:ext>
            </c:extLst>
          </c:dPt>
          <c:val>
            <c:numRef>
              <c:f>Grafieke!$F$19:$F$21</c:f>
              <c:numCache>
                <c:formatCode>General</c:formatCode>
                <c:ptCount val="3"/>
                <c:pt idx="0" formatCode="0">
                  <c:v>47.391522302854924</c:v>
                </c:pt>
                <c:pt idx="1">
                  <c:v>1</c:v>
                </c:pt>
                <c:pt idx="2" formatCode="0">
                  <c:v>151.60847769714508</c:v>
                </c:pt>
              </c:numCache>
            </c:numRef>
          </c:val>
          <c:extLst>
            <c:ext xmlns:c16="http://schemas.microsoft.com/office/drawing/2014/chart" uri="{C3380CC4-5D6E-409C-BE32-E72D297353CC}">
              <c16:uniqueId val="{00000011-5982-451B-AFE4-EF4BA26EC4D5}"/>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Sojaboonwinsgewendheid</a:t>
            </a:r>
          </a:p>
        </c:rich>
      </c:tx>
      <c:overlay val="0"/>
    </c:title>
    <c:autoTitleDeleted val="0"/>
    <c:plotArea>
      <c:layout/>
      <c:doughnutChart>
        <c:varyColors val="1"/>
        <c:ser>
          <c:idx val="0"/>
          <c:order val="0"/>
          <c:tx>
            <c:strRef>
              <c:f>Grafieke!$A$35</c:f>
              <c:strCache>
                <c:ptCount val="1"/>
                <c:pt idx="0">
                  <c:v>Winsgewendheid: Sojabone</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C7A3-4D97-88B7-66DF53256292}"/>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C7A3-4D97-88B7-66DF53256292}"/>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C7A3-4D97-88B7-66DF53256292}"/>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C7A3-4D97-88B7-66DF53256292}"/>
              </c:ext>
            </c:extLst>
          </c:dPt>
          <c:dPt>
            <c:idx val="4"/>
            <c:bubble3D val="0"/>
            <c:spPr>
              <a:noFill/>
              <a:ln>
                <a:noFill/>
              </a:ln>
              <a:effectLst/>
            </c:spPr>
            <c:extLst>
              <c:ext xmlns:c16="http://schemas.microsoft.com/office/drawing/2014/chart" uri="{C3380CC4-5D6E-409C-BE32-E72D297353CC}">
                <c16:uniqueId val="{00000009-C7A3-4D97-88B7-66DF53256292}"/>
              </c:ext>
            </c:extLst>
          </c:dPt>
          <c:dLbls>
            <c:dLbl>
              <c:idx val="0"/>
              <c:delete val="1"/>
              <c:extLst>
                <c:ext xmlns:c15="http://schemas.microsoft.com/office/drawing/2012/chart" uri="{CE6537A1-D6FC-4f65-9D91-7224C49458BB}"/>
                <c:ext xmlns:c16="http://schemas.microsoft.com/office/drawing/2014/chart" uri="{C3380CC4-5D6E-409C-BE32-E72D297353CC}">
                  <c16:uniqueId val="{00000001-C7A3-4D97-88B7-66DF53256292}"/>
                </c:ext>
              </c:extLst>
            </c:dLbl>
            <c:dLbl>
              <c:idx val="1"/>
              <c:tx>
                <c:rich>
                  <a:bodyPr/>
                  <a:lstStyle/>
                  <a:p>
                    <a:r>
                      <a:rPr lang="en-US"/>
                      <a:t>Veranderlike</a:t>
                    </a:r>
                    <a:r>
                      <a:rPr lang="en-US" baseline="0"/>
                      <a:t> koste</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C7A3-4D97-88B7-66DF53256292}"/>
                </c:ext>
              </c:extLst>
            </c:dLbl>
            <c:dLbl>
              <c:idx val="2"/>
              <c:tx>
                <c:rich>
                  <a:bodyPr/>
                  <a:lstStyle/>
                  <a:p>
                    <a:r>
                      <a:rPr lang="en-US"/>
                      <a:t>Vaste</a:t>
                    </a:r>
                    <a:r>
                      <a:rPr lang="en-US" baseline="0"/>
                      <a:t> koste</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C7A3-4D97-88B7-66DF53256292}"/>
                </c:ext>
              </c:extLst>
            </c:dLbl>
            <c:dLbl>
              <c:idx val="3"/>
              <c:tx>
                <c:rich>
                  <a:bodyPr/>
                  <a:lstStyle/>
                  <a:p>
                    <a:r>
                      <a:rPr lang="en-US"/>
                      <a:t>Wins</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C7A3-4D97-88B7-66DF53256292}"/>
                </c:ext>
              </c:extLst>
            </c:dLbl>
            <c:dLbl>
              <c:idx val="4"/>
              <c:delete val="1"/>
              <c:extLst>
                <c:ext xmlns:c15="http://schemas.microsoft.com/office/drawing/2012/chart" uri="{CE6537A1-D6FC-4f65-9D91-7224C49458BB}"/>
                <c:ext xmlns:c16="http://schemas.microsoft.com/office/drawing/2014/chart" uri="{C3380CC4-5D6E-409C-BE32-E72D297353CC}">
                  <c16:uniqueId val="{00000009-C7A3-4D97-88B7-66DF53256292}"/>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Grafieke!$C$36:$C$40</c:f>
              <c:numCache>
                <c:formatCode>0</c:formatCode>
                <c:ptCount val="5"/>
                <c:pt idx="0" formatCode="General">
                  <c:v>0</c:v>
                </c:pt>
                <c:pt idx="1">
                  <c:v>39.012449149891957</c:v>
                </c:pt>
                <c:pt idx="2">
                  <c:v>12.288884749212393</c:v>
                </c:pt>
                <c:pt idx="3">
                  <c:v>48.698666100895657</c:v>
                </c:pt>
                <c:pt idx="4" formatCode="General">
                  <c:v>100</c:v>
                </c:pt>
              </c:numCache>
            </c:numRef>
          </c:val>
          <c:extLst>
            <c:ext xmlns:c16="http://schemas.microsoft.com/office/drawing/2014/chart" uri="{C3380CC4-5D6E-409C-BE32-E72D297353CC}">
              <c16:uniqueId val="{0000000A-C7A3-4D97-88B7-66DF53256292}"/>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Grafieke!$D$35</c:f>
              <c:strCache>
                <c:ptCount val="1"/>
                <c:pt idx="0">
                  <c:v>Pointer</c:v>
                </c:pt>
              </c:strCache>
            </c:strRef>
          </c:tx>
          <c:dPt>
            <c:idx val="0"/>
            <c:bubble3D val="0"/>
            <c:spPr>
              <a:noFill/>
            </c:spPr>
            <c:extLst>
              <c:ext xmlns:c16="http://schemas.microsoft.com/office/drawing/2014/chart" uri="{C3380CC4-5D6E-409C-BE32-E72D297353CC}">
                <c16:uniqueId val="{0000000C-C7A3-4D97-88B7-66DF53256292}"/>
              </c:ext>
            </c:extLst>
          </c:dPt>
          <c:dPt>
            <c:idx val="1"/>
            <c:bubble3D val="0"/>
            <c:spPr>
              <a:solidFill>
                <a:schemeClr val="tx1"/>
              </a:solidFill>
            </c:spPr>
            <c:extLst>
              <c:ext xmlns:c16="http://schemas.microsoft.com/office/drawing/2014/chart" uri="{C3380CC4-5D6E-409C-BE32-E72D297353CC}">
                <c16:uniqueId val="{0000000E-C7A3-4D97-88B7-66DF53256292}"/>
              </c:ext>
            </c:extLst>
          </c:dPt>
          <c:dPt>
            <c:idx val="2"/>
            <c:bubble3D val="0"/>
            <c:spPr>
              <a:noFill/>
            </c:spPr>
            <c:extLst>
              <c:ext xmlns:c16="http://schemas.microsoft.com/office/drawing/2014/chart" uri="{C3380CC4-5D6E-409C-BE32-E72D297353CC}">
                <c16:uniqueId val="{00000010-C7A3-4D97-88B7-66DF53256292}"/>
              </c:ext>
            </c:extLst>
          </c:dPt>
          <c:val>
            <c:numRef>
              <c:f>Grafieke!$F$36:$F$38</c:f>
              <c:numCache>
                <c:formatCode>General</c:formatCode>
                <c:ptCount val="3"/>
                <c:pt idx="0" formatCode="0">
                  <c:v>48.698666100895657</c:v>
                </c:pt>
                <c:pt idx="1">
                  <c:v>1</c:v>
                </c:pt>
                <c:pt idx="2" formatCode="0">
                  <c:v>150.30133389910435</c:v>
                </c:pt>
              </c:numCache>
            </c:numRef>
          </c:val>
          <c:extLst>
            <c:ext xmlns:c16="http://schemas.microsoft.com/office/drawing/2014/chart" uri="{C3380CC4-5D6E-409C-BE32-E72D297353CC}">
              <c16:uniqueId val="{00000011-C7A3-4D97-88B7-66DF53256292}"/>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Bt Maize profitability</a:t>
            </a:r>
          </a:p>
        </c:rich>
      </c:tx>
      <c:overlay val="0"/>
    </c:title>
    <c:autoTitleDeleted val="0"/>
    <c:plotArea>
      <c:layout/>
      <c:doughnutChart>
        <c:varyColors val="1"/>
        <c:ser>
          <c:idx val="0"/>
          <c:order val="0"/>
          <c:tx>
            <c:strRef>
              <c:f>Grafieke!$A$1</c:f>
              <c:strCache>
                <c:ptCount val="1"/>
                <c:pt idx="0">
                  <c:v>Winsgewendheid: Mielies</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D8DF-437C-A76F-E7259968761B}"/>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D8DF-437C-A76F-E7259968761B}"/>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D8DF-437C-A76F-E7259968761B}"/>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D8DF-437C-A76F-E7259968761B}"/>
              </c:ext>
            </c:extLst>
          </c:dPt>
          <c:dPt>
            <c:idx val="4"/>
            <c:bubble3D val="0"/>
            <c:spPr>
              <a:noFill/>
              <a:ln>
                <a:noFill/>
              </a:ln>
              <a:effectLst/>
            </c:spPr>
            <c:extLst>
              <c:ext xmlns:c16="http://schemas.microsoft.com/office/drawing/2014/chart" uri="{C3380CC4-5D6E-409C-BE32-E72D297353CC}">
                <c16:uniqueId val="{00000009-D8DF-437C-A76F-E7259968761B}"/>
              </c:ext>
            </c:extLst>
          </c:dPt>
          <c:dLbls>
            <c:dLbl>
              <c:idx val="0"/>
              <c:delete val="1"/>
              <c:extLst>
                <c:ext xmlns:c15="http://schemas.microsoft.com/office/drawing/2012/chart" uri="{CE6537A1-D6FC-4f65-9D91-7224C49458BB}"/>
                <c:ext xmlns:c16="http://schemas.microsoft.com/office/drawing/2014/chart" uri="{C3380CC4-5D6E-409C-BE32-E72D297353CC}">
                  <c16:uniqueId val="{00000001-D8DF-437C-A76F-E7259968761B}"/>
                </c:ext>
              </c:extLst>
            </c:dLbl>
            <c:dLbl>
              <c:idx val="1"/>
              <c:layout>
                <c:manualLayout>
                  <c:x val="-1.4149913317853811E-2"/>
                  <c:y val="8.5108742105585403E-2"/>
                </c:manualLayout>
              </c:layout>
              <c:tx>
                <c:rich>
                  <a:bodyPr/>
                  <a:lstStyle/>
                  <a:p>
                    <a:r>
                      <a:rPr lang="en-US" sz="1100">
                        <a:solidFill>
                          <a:schemeClr val="tx1"/>
                        </a:solidFill>
                      </a:rPr>
                      <a:t>Variable costs</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D8DF-437C-A76F-E7259968761B}"/>
                </c:ext>
              </c:extLst>
            </c:dLbl>
            <c:dLbl>
              <c:idx val="2"/>
              <c:tx>
                <c:rich>
                  <a:bodyPr/>
                  <a:lstStyle/>
                  <a:p>
                    <a:r>
                      <a:rPr lang="en-US" sz="1100">
                        <a:solidFill>
                          <a:schemeClr val="tx1"/>
                        </a:solidFill>
                      </a:rPr>
                      <a:t>Fixed costs</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D8DF-437C-A76F-E7259968761B}"/>
                </c:ext>
              </c:extLst>
            </c:dLbl>
            <c:dLbl>
              <c:idx val="3"/>
              <c:tx>
                <c:rich>
                  <a:bodyPr/>
                  <a:lstStyle/>
                  <a:p>
                    <a:r>
                      <a:rPr lang="en-US" sz="1100">
                        <a:solidFill>
                          <a:schemeClr val="tx1"/>
                        </a:solidFill>
                      </a:rPr>
                      <a:t>Profit</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D8DF-437C-A76F-E7259968761B}"/>
                </c:ext>
              </c:extLst>
            </c:dLbl>
            <c:dLbl>
              <c:idx val="4"/>
              <c:delete val="1"/>
              <c:extLst>
                <c:ext xmlns:c15="http://schemas.microsoft.com/office/drawing/2012/chart" uri="{CE6537A1-D6FC-4f65-9D91-7224C49458BB}"/>
                <c:ext xmlns:c16="http://schemas.microsoft.com/office/drawing/2014/chart" uri="{C3380CC4-5D6E-409C-BE32-E72D297353CC}">
                  <c16:uniqueId val="{00000009-D8DF-437C-A76F-E7259968761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Grafieke!$C$2:$C$6</c:f>
              <c:numCache>
                <c:formatCode>0</c:formatCode>
                <c:ptCount val="5"/>
                <c:pt idx="0" formatCode="General">
                  <c:v>0</c:v>
                </c:pt>
                <c:pt idx="1">
                  <c:v>40.878710256081561</c:v>
                </c:pt>
                <c:pt idx="2">
                  <c:v>13.045830434622395</c:v>
                </c:pt>
                <c:pt idx="3">
                  <c:v>46.075459309296043</c:v>
                </c:pt>
                <c:pt idx="4" formatCode="General">
                  <c:v>100</c:v>
                </c:pt>
              </c:numCache>
            </c:numRef>
          </c:val>
          <c:extLst>
            <c:ext xmlns:c16="http://schemas.microsoft.com/office/drawing/2014/chart" uri="{C3380CC4-5D6E-409C-BE32-E72D297353CC}">
              <c16:uniqueId val="{0000000A-D8DF-437C-A76F-E7259968761B}"/>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Grafieke!$D$1</c:f>
              <c:strCache>
                <c:ptCount val="1"/>
                <c:pt idx="0">
                  <c:v>Pointer</c:v>
                </c:pt>
              </c:strCache>
            </c:strRef>
          </c:tx>
          <c:dPt>
            <c:idx val="0"/>
            <c:bubble3D val="0"/>
            <c:spPr>
              <a:noFill/>
              <a:ln>
                <a:noFill/>
              </a:ln>
              <a:effectLst/>
            </c:spPr>
            <c:extLst>
              <c:ext xmlns:c16="http://schemas.microsoft.com/office/drawing/2014/chart" uri="{C3380CC4-5D6E-409C-BE32-E72D297353CC}">
                <c16:uniqueId val="{0000000C-D8DF-437C-A76F-E7259968761B}"/>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D8DF-437C-A76F-E7259968761B}"/>
              </c:ext>
            </c:extLst>
          </c:dPt>
          <c:dPt>
            <c:idx val="2"/>
            <c:bubble3D val="0"/>
            <c:spPr>
              <a:noFill/>
              <a:ln>
                <a:noFill/>
              </a:ln>
              <a:effectLst/>
            </c:spPr>
            <c:extLst>
              <c:ext xmlns:c16="http://schemas.microsoft.com/office/drawing/2014/chart" uri="{C3380CC4-5D6E-409C-BE32-E72D297353CC}">
                <c16:uniqueId val="{00000010-D8DF-437C-A76F-E7259968761B}"/>
              </c:ext>
            </c:extLst>
          </c:dPt>
          <c:val>
            <c:numRef>
              <c:f>Grafieke!$F$2:$F$4</c:f>
              <c:numCache>
                <c:formatCode>General</c:formatCode>
                <c:ptCount val="3"/>
                <c:pt idx="0" formatCode="0">
                  <c:v>46.075459309296043</c:v>
                </c:pt>
                <c:pt idx="1">
                  <c:v>1</c:v>
                </c:pt>
                <c:pt idx="2" formatCode="0">
                  <c:v>152.92454069070396</c:v>
                </c:pt>
              </c:numCache>
            </c:numRef>
          </c:val>
          <c:extLst>
            <c:ext xmlns:c16="http://schemas.microsoft.com/office/drawing/2014/chart" uri="{C3380CC4-5D6E-409C-BE32-E72D297353CC}">
              <c16:uniqueId val="{00000011-D8DF-437C-A76F-E7259968761B}"/>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7.jpeg"/></Relationships>
</file>

<file path=xl/drawings/_rels/drawing7.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6" Type="http://schemas.openxmlformats.org/officeDocument/2006/relationships/chart" Target="../charts/chart7.xml"/><Relationship Id="rId5" Type="http://schemas.openxmlformats.org/officeDocument/2006/relationships/chart" Target="../charts/chart6.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4</xdr:col>
      <xdr:colOff>318248</xdr:colOff>
      <xdr:row>1</xdr:row>
      <xdr:rowOff>69477</xdr:rowOff>
    </xdr:from>
    <xdr:to>
      <xdr:col>5</xdr:col>
      <xdr:colOff>555475</xdr:colOff>
      <xdr:row>5</xdr:row>
      <xdr:rowOff>134273</xdr:rowOff>
    </xdr:to>
    <xdr:pic>
      <xdr:nvPicPr>
        <xdr:cNvPr id="2" name="Picture 1" descr="GrainSA - YouTube">
          <a:extLst>
            <a:ext uri="{FF2B5EF4-FFF2-40B4-BE49-F238E27FC236}">
              <a16:creationId xmlns:a16="http://schemas.microsoft.com/office/drawing/2014/main" id="{A72E1DA2-D137-4361-8985-B6E4DAFC2B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63236" y="428065"/>
          <a:ext cx="981857" cy="878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15240</xdr:colOff>
      <xdr:row>43</xdr:row>
      <xdr:rowOff>15240</xdr:rowOff>
    </xdr:from>
    <xdr:to>
      <xdr:col>0</xdr:col>
      <xdr:colOff>815340</xdr:colOff>
      <xdr:row>46</xdr:row>
      <xdr:rowOff>129540</xdr:rowOff>
    </xdr:to>
    <xdr:pic>
      <xdr:nvPicPr>
        <xdr:cNvPr id="6680" name="Picture 3" descr="http://www.maizetrust.co.za/images/masthead.jpg">
          <a:extLst>
            <a:ext uri="{FF2B5EF4-FFF2-40B4-BE49-F238E27FC236}">
              <a16:creationId xmlns:a16="http://schemas.microsoft.com/office/drawing/2014/main" id="{6BC3507D-ACF1-D76F-40F4-D01C7E908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 y="7505700"/>
          <a:ext cx="80010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19051</xdr:colOff>
      <xdr:row>0</xdr:row>
      <xdr:rowOff>0</xdr:rowOff>
    </xdr:from>
    <xdr:to>
      <xdr:col>9</xdr:col>
      <xdr:colOff>961800</xdr:colOff>
      <xdr:row>2</xdr:row>
      <xdr:rowOff>291778</xdr:rowOff>
    </xdr:to>
    <xdr:pic>
      <xdr:nvPicPr>
        <xdr:cNvPr id="2" name="Picture 1" descr="GrainSA - YouTube">
          <a:extLst>
            <a:ext uri="{FF2B5EF4-FFF2-40B4-BE49-F238E27FC236}">
              <a16:creationId xmlns:a16="http://schemas.microsoft.com/office/drawing/2014/main" id="{804C4A18-EE5F-3542-CDBA-5EA05AEC198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15701" y="0"/>
          <a:ext cx="952274" cy="8833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43</xdr:row>
      <xdr:rowOff>3334</xdr:rowOff>
    </xdr:from>
    <xdr:to>
      <xdr:col>0</xdr:col>
      <xdr:colOff>1273968</xdr:colOff>
      <xdr:row>46</xdr:row>
      <xdr:rowOff>165258</xdr:rowOff>
    </xdr:to>
    <xdr:pic>
      <xdr:nvPicPr>
        <xdr:cNvPr id="7714" name="Picture 3" descr="http://www.maizetrust.co.za/images/masthead.jpg">
          <a:extLst>
            <a:ext uri="{FF2B5EF4-FFF2-40B4-BE49-F238E27FC236}">
              <a16:creationId xmlns:a16="http://schemas.microsoft.com/office/drawing/2014/main" id="{200B6AFE-4B50-5240-1DEE-5E2DF80C6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59115"/>
          <a:ext cx="1273968" cy="661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xdr:colOff>
      <xdr:row>0</xdr:row>
      <xdr:rowOff>23813</xdr:rowOff>
    </xdr:from>
    <xdr:to>
      <xdr:col>8</xdr:col>
      <xdr:colOff>1679</xdr:colOff>
      <xdr:row>2</xdr:row>
      <xdr:rowOff>289555</xdr:rowOff>
    </xdr:to>
    <xdr:pic>
      <xdr:nvPicPr>
        <xdr:cNvPr id="2" name="Picture 1" descr="GrainSA - YouTube">
          <a:extLst>
            <a:ext uri="{FF2B5EF4-FFF2-40B4-BE49-F238E27FC236}">
              <a16:creationId xmlns:a16="http://schemas.microsoft.com/office/drawing/2014/main" id="{D1849190-E5E0-4ABE-907F-B560EBF1094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298907" y="23813"/>
          <a:ext cx="973229" cy="874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15240</xdr:colOff>
      <xdr:row>43</xdr:row>
      <xdr:rowOff>15240</xdr:rowOff>
    </xdr:from>
    <xdr:to>
      <xdr:col>0</xdr:col>
      <xdr:colOff>815340</xdr:colOff>
      <xdr:row>46</xdr:row>
      <xdr:rowOff>129540</xdr:rowOff>
    </xdr:to>
    <xdr:pic>
      <xdr:nvPicPr>
        <xdr:cNvPr id="14890" name="Picture 3" descr="http://www.maizetrust.co.za/images/masthead.jpg">
          <a:extLst>
            <a:ext uri="{FF2B5EF4-FFF2-40B4-BE49-F238E27FC236}">
              <a16:creationId xmlns:a16="http://schemas.microsoft.com/office/drawing/2014/main" id="{1B72545B-9341-FA5C-150E-DC32FD52B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 y="7650480"/>
          <a:ext cx="80010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571500</xdr:colOff>
      <xdr:row>0</xdr:row>
      <xdr:rowOff>87779</xdr:rowOff>
    </xdr:from>
    <xdr:to>
      <xdr:col>6</xdr:col>
      <xdr:colOff>575085</xdr:colOff>
      <xdr:row>2</xdr:row>
      <xdr:rowOff>373843</xdr:rowOff>
    </xdr:to>
    <xdr:pic>
      <xdr:nvPicPr>
        <xdr:cNvPr id="2" name="Picture 1" descr="GrainSA - YouTube">
          <a:extLst>
            <a:ext uri="{FF2B5EF4-FFF2-40B4-BE49-F238E27FC236}">
              <a16:creationId xmlns:a16="http://schemas.microsoft.com/office/drawing/2014/main" id="{734F4D3A-2815-4626-9258-21B00B7EF6E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001250" y="87779"/>
          <a:ext cx="995772" cy="858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9</xdr:col>
      <xdr:colOff>108857</xdr:colOff>
      <xdr:row>2</xdr:row>
      <xdr:rowOff>326571</xdr:rowOff>
    </xdr:to>
    <xdr:pic>
      <xdr:nvPicPr>
        <xdr:cNvPr id="2" name="Picture 1" descr="GrainSA - YouTube">
          <a:extLst>
            <a:ext uri="{FF2B5EF4-FFF2-40B4-BE49-F238E27FC236}">
              <a16:creationId xmlns:a16="http://schemas.microsoft.com/office/drawing/2014/main" id="{F9C1DBDB-F46F-4C80-9365-987B999DAB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9257" y="0"/>
          <a:ext cx="979714"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xdr:colOff>
      <xdr:row>43</xdr:row>
      <xdr:rowOff>15240</xdr:rowOff>
    </xdr:from>
    <xdr:to>
      <xdr:col>0</xdr:col>
      <xdr:colOff>815340</xdr:colOff>
      <xdr:row>46</xdr:row>
      <xdr:rowOff>129540</xdr:rowOff>
    </xdr:to>
    <xdr:pic>
      <xdr:nvPicPr>
        <xdr:cNvPr id="3" name="Picture 3" descr="http://www.maizetrust.co.za/images/masthead.jpg">
          <a:extLst>
            <a:ext uri="{FF2B5EF4-FFF2-40B4-BE49-F238E27FC236}">
              <a16:creationId xmlns:a16="http://schemas.microsoft.com/office/drawing/2014/main" id="{4A2BB161-CAF8-4F25-AED5-7716CC8A99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 y="7200900"/>
          <a:ext cx="8001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958942</xdr:colOff>
      <xdr:row>2</xdr:row>
      <xdr:rowOff>283914</xdr:rowOff>
    </xdr:to>
    <xdr:pic>
      <xdr:nvPicPr>
        <xdr:cNvPr id="2" name="Picture 1" descr="GrainSA - YouTube">
          <a:extLst>
            <a:ext uri="{FF2B5EF4-FFF2-40B4-BE49-F238E27FC236}">
              <a16:creationId xmlns:a16="http://schemas.microsoft.com/office/drawing/2014/main" id="{5F0237C5-515F-4105-A539-34F2F19D48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78143" y="0"/>
          <a:ext cx="958942" cy="871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43</xdr:row>
      <xdr:rowOff>1905</xdr:rowOff>
    </xdr:from>
    <xdr:to>
      <xdr:col>0</xdr:col>
      <xdr:colOff>800100</xdr:colOff>
      <xdr:row>46</xdr:row>
      <xdr:rowOff>112395</xdr:rowOff>
    </xdr:to>
    <xdr:pic>
      <xdr:nvPicPr>
        <xdr:cNvPr id="3" name="Picture 3" descr="http://www.maizetrust.co.za/images/masthead.jpg">
          <a:extLst>
            <a:ext uri="{FF2B5EF4-FFF2-40B4-BE49-F238E27FC236}">
              <a16:creationId xmlns:a16="http://schemas.microsoft.com/office/drawing/2014/main" id="{D18BCD38-F661-4DD1-A873-F0BF404D5A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7440930"/>
          <a:ext cx="80010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38</xdr:row>
      <xdr:rowOff>0</xdr:rowOff>
    </xdr:from>
    <xdr:to>
      <xdr:col>5</xdr:col>
      <xdr:colOff>769620</xdr:colOff>
      <xdr:row>55</xdr:row>
      <xdr:rowOff>76200</xdr:rowOff>
    </xdr:to>
    <xdr:graphicFrame macro="">
      <xdr:nvGraphicFramePr>
        <xdr:cNvPr id="154647" name="Chart 1">
          <a:extLst>
            <a:ext uri="{FF2B5EF4-FFF2-40B4-BE49-F238E27FC236}">
              <a16:creationId xmlns:a16="http://schemas.microsoft.com/office/drawing/2014/main" id="{13E40D41-192B-1139-9CA3-83366CFFB6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31041</xdr:colOff>
      <xdr:row>0</xdr:row>
      <xdr:rowOff>0</xdr:rowOff>
    </xdr:from>
    <xdr:to>
      <xdr:col>7</xdr:col>
      <xdr:colOff>441497</xdr:colOff>
      <xdr:row>7</xdr:row>
      <xdr:rowOff>4454</xdr:rowOff>
    </xdr:to>
    <xdr:pic>
      <xdr:nvPicPr>
        <xdr:cNvPr id="3" name="Picture 1" descr="GrainSA - YouTube">
          <a:extLst>
            <a:ext uri="{FF2B5EF4-FFF2-40B4-BE49-F238E27FC236}">
              <a16:creationId xmlns:a16="http://schemas.microsoft.com/office/drawing/2014/main" id="{8323F2D9-DE56-4BEB-9070-8E649EA16F5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96382" y="0"/>
          <a:ext cx="1050536" cy="9237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6</xdr:col>
      <xdr:colOff>602239</xdr:colOff>
      <xdr:row>16</xdr:row>
      <xdr:rowOff>174119</xdr:rowOff>
    </xdr:from>
    <xdr:to>
      <xdr:col>16</xdr:col>
      <xdr:colOff>67456</xdr:colOff>
      <xdr:row>28</xdr:row>
      <xdr:rowOff>132032</xdr:rowOff>
    </xdr:to>
    <xdr:graphicFrame macro="">
      <xdr:nvGraphicFramePr>
        <xdr:cNvPr id="3" name="Chart 3">
          <a:extLst>
            <a:ext uri="{FF2B5EF4-FFF2-40B4-BE49-F238E27FC236}">
              <a16:creationId xmlns:a16="http://schemas.microsoft.com/office/drawing/2014/main" id="{9169BA33-D257-431D-8FD2-C269D43CF0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624272</xdr:colOff>
      <xdr:row>33</xdr:row>
      <xdr:rowOff>16118</xdr:rowOff>
    </xdr:from>
    <xdr:to>
      <xdr:col>16</xdr:col>
      <xdr:colOff>89489</xdr:colOff>
      <xdr:row>44</xdr:row>
      <xdr:rowOff>161770</xdr:rowOff>
    </xdr:to>
    <xdr:graphicFrame macro="">
      <xdr:nvGraphicFramePr>
        <xdr:cNvPr id="4" name="Chart 4">
          <a:extLst>
            <a:ext uri="{FF2B5EF4-FFF2-40B4-BE49-F238E27FC236}">
              <a16:creationId xmlns:a16="http://schemas.microsoft.com/office/drawing/2014/main" id="{350C9B6F-5FCD-416C-9757-E196BB51D0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548468</xdr:colOff>
      <xdr:row>0</xdr:row>
      <xdr:rowOff>0</xdr:rowOff>
    </xdr:from>
    <xdr:to>
      <xdr:col>27</xdr:col>
      <xdr:colOff>13685</xdr:colOff>
      <xdr:row>11</xdr:row>
      <xdr:rowOff>145652</xdr:rowOff>
    </xdr:to>
    <xdr:graphicFrame macro="">
      <xdr:nvGraphicFramePr>
        <xdr:cNvPr id="5" name="Chart 1">
          <a:extLst>
            <a:ext uri="{FF2B5EF4-FFF2-40B4-BE49-F238E27FC236}">
              <a16:creationId xmlns:a16="http://schemas.microsoft.com/office/drawing/2014/main" id="{4B877339-5B7D-433B-93D7-AF64F9CCAC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0</xdr:colOff>
      <xdr:row>17</xdr:row>
      <xdr:rowOff>0</xdr:rowOff>
    </xdr:from>
    <xdr:to>
      <xdr:col>27</xdr:col>
      <xdr:colOff>94695</xdr:colOff>
      <xdr:row>28</xdr:row>
      <xdr:rowOff>145653</xdr:rowOff>
    </xdr:to>
    <xdr:graphicFrame macro="">
      <xdr:nvGraphicFramePr>
        <xdr:cNvPr id="6" name="Chart 3">
          <a:extLst>
            <a:ext uri="{FF2B5EF4-FFF2-40B4-BE49-F238E27FC236}">
              <a16:creationId xmlns:a16="http://schemas.microsoft.com/office/drawing/2014/main" id="{CC37CC54-083D-42AE-A087-DEA46FBA9F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11044</xdr:colOff>
      <xdr:row>33</xdr:row>
      <xdr:rowOff>0</xdr:rowOff>
    </xdr:from>
    <xdr:to>
      <xdr:col>27</xdr:col>
      <xdr:colOff>105739</xdr:colOff>
      <xdr:row>44</xdr:row>
      <xdr:rowOff>145652</xdr:rowOff>
    </xdr:to>
    <xdr:graphicFrame macro="">
      <xdr:nvGraphicFramePr>
        <xdr:cNvPr id="7" name="Chart 4">
          <a:extLst>
            <a:ext uri="{FF2B5EF4-FFF2-40B4-BE49-F238E27FC236}">
              <a16:creationId xmlns:a16="http://schemas.microsoft.com/office/drawing/2014/main" id="{BABAC9D0-8C88-4EEE-B223-07A1AC01A7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0</xdr:colOff>
      <xdr:row>0</xdr:row>
      <xdr:rowOff>0</xdr:rowOff>
    </xdr:from>
    <xdr:to>
      <xdr:col>16</xdr:col>
      <xdr:colOff>94694</xdr:colOff>
      <xdr:row>11</xdr:row>
      <xdr:rowOff>145652</xdr:rowOff>
    </xdr:to>
    <xdr:graphicFrame macro="">
      <xdr:nvGraphicFramePr>
        <xdr:cNvPr id="9" name="Chart 1">
          <a:extLst>
            <a:ext uri="{FF2B5EF4-FFF2-40B4-BE49-F238E27FC236}">
              <a16:creationId xmlns:a16="http://schemas.microsoft.com/office/drawing/2014/main" id="{5914579F-D0ED-4B98-89CB-8EE1B8C7C1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saadcprd01\gsadata\Bedryfsbediening\Produksie\Produksie%20Begroting\Somer%20gewas%20streke\Somer%20begrotings\2017-18\GSA-17-18%20Noordwes%20begroting%20North%20West%20budge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Users\petru\AppData\Local\Microsoft\Windows\Temporary%20Internet%20Files\Content.Outlook\OCSLA1IY\GSA-18-19%20Noordwes%20mode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GSA-16-17%20Noordwes%20Vrystaat%20begroting%20-%20North%20west%20Free%20state%20budget.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Bedryfsbediening/Produksie/Produksie%20Begroting/Somer%20gewas%20streke/Somer%20modelle/2018-19/GSA-18-19%20Oos%20Vrystaat%20model.xlsx" TargetMode="External"/><Relationship Id="rId1" Type="http://schemas.openxmlformats.org/officeDocument/2006/relationships/externalLinkPath" Target="/Bedryfsbediening/Produksie/Produksie%20Begroting/Somer%20gewas%20streke/Somer%20modelle/2018-19/GSA-18-19%20Oos%20Vrystaat%20mod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yse + Sensatiwiteitsanalise"/>
      <sheetName val="W-Mielie "/>
      <sheetName val="W-BT Mielies"/>
      <sheetName val="W-Roundup R mielies "/>
      <sheetName val="Stapelgeen Mielie"/>
      <sheetName val="Sonneblom"/>
      <sheetName val="Sojabone"/>
      <sheetName val="Graansorghum"/>
      <sheetName val="Grondbone"/>
      <sheetName val="Bes-mielies"/>
    </sheetNames>
    <sheetDataSet>
      <sheetData sheetId="0"/>
      <sheetData sheetId="1"/>
      <sheetData sheetId="2">
        <row r="9">
          <cell r="K9">
            <v>2.5</v>
          </cell>
        </row>
        <row r="10">
          <cell r="K10">
            <v>3</v>
          </cell>
        </row>
        <row r="11">
          <cell r="K11">
            <v>3.5</v>
          </cell>
        </row>
        <row r="12">
          <cell r="K12">
            <v>4</v>
          </cell>
        </row>
        <row r="13">
          <cell r="K13">
            <v>4.5</v>
          </cell>
        </row>
        <row r="14">
          <cell r="K14">
            <v>5</v>
          </cell>
        </row>
      </sheetData>
      <sheetData sheetId="3"/>
      <sheetData sheetId="4"/>
      <sheetData sheetId="5">
        <row r="9">
          <cell r="K9">
            <v>1</v>
          </cell>
        </row>
        <row r="10">
          <cell r="K10">
            <v>1.25</v>
          </cell>
        </row>
        <row r="11">
          <cell r="K11">
            <v>1.5</v>
          </cell>
        </row>
        <row r="12">
          <cell r="K12">
            <v>1.75</v>
          </cell>
        </row>
        <row r="13">
          <cell r="K13">
            <v>2</v>
          </cell>
        </row>
      </sheetData>
      <sheetData sheetId="6">
        <row r="9">
          <cell r="K9">
            <v>1</v>
          </cell>
        </row>
        <row r="10">
          <cell r="K10">
            <v>1.25</v>
          </cell>
        </row>
        <row r="11">
          <cell r="K11">
            <v>1.5</v>
          </cell>
        </row>
        <row r="12">
          <cell r="K12">
            <v>1.75</v>
          </cell>
        </row>
        <row r="13">
          <cell r="K13">
            <v>2</v>
          </cell>
        </row>
      </sheetData>
      <sheetData sheetId="7">
        <row r="9">
          <cell r="K9">
            <v>2</v>
          </cell>
        </row>
        <row r="10">
          <cell r="K10">
            <v>2.5</v>
          </cell>
        </row>
        <row r="11">
          <cell r="K11">
            <v>3</v>
          </cell>
        </row>
        <row r="12">
          <cell r="K12">
            <v>3.5</v>
          </cell>
        </row>
        <row r="13">
          <cell r="K13">
            <v>4</v>
          </cell>
        </row>
      </sheetData>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edprices"/>
      <sheetName val="Price sheet "/>
      <sheetName val="Crops planted"/>
      <sheetName val="Inventarus "/>
      <sheetName val="Laste"/>
      <sheetName val="vaste koste"/>
      <sheetName val="W-Mielie "/>
      <sheetName val="W-BT Mielies"/>
      <sheetName val="Sonneblom"/>
      <sheetName val="Sojabone"/>
      <sheetName val="Graansorghum"/>
      <sheetName val="Grondbone"/>
      <sheetName val="Oorlê"/>
      <sheetName val="Bes-mielies"/>
      <sheetName val="Crop Comparison"/>
      <sheetName val="Rent calculations"/>
      <sheetName val="Pryse + Sensatiwiteitsanalise"/>
      <sheetName val="Strategie"/>
      <sheetName val="sheet"/>
      <sheetName val="sheet 2"/>
    </sheetNames>
    <sheetDataSet>
      <sheetData sheetId="0" refreshError="1">
        <row r="3">
          <cell r="A3" t="str">
            <v>Monsanto Average Conven</v>
          </cell>
          <cell r="B3">
            <v>3014</v>
          </cell>
        </row>
        <row r="4">
          <cell r="A4" t="str">
            <v>Monsanto Average BT</v>
          </cell>
          <cell r="B4">
            <v>4202</v>
          </cell>
        </row>
        <row r="5">
          <cell r="A5" t="str">
            <v>Monsanto Average RR</v>
          </cell>
          <cell r="B5">
            <v>3966</v>
          </cell>
        </row>
        <row r="6">
          <cell r="A6" t="str">
            <v>Monsanto Average BR</v>
          </cell>
          <cell r="B6">
            <v>4455</v>
          </cell>
        </row>
        <row r="7">
          <cell r="A7" t="str">
            <v>DKC 73-72</v>
          </cell>
          <cell r="B7">
            <v>3535</v>
          </cell>
        </row>
        <row r="8">
          <cell r="A8" t="str">
            <v>DKC 80-10</v>
          </cell>
          <cell r="B8">
            <v>2002</v>
          </cell>
        </row>
        <row r="9">
          <cell r="A9" t="str">
            <v>DKC 71-42</v>
          </cell>
          <cell r="B9">
            <v>3612</v>
          </cell>
        </row>
        <row r="10">
          <cell r="A10" t="str">
            <v>DKC 61-90*</v>
          </cell>
          <cell r="B10">
            <v>2773</v>
          </cell>
        </row>
        <row r="11">
          <cell r="A11" t="str">
            <v>DKC 74-20</v>
          </cell>
          <cell r="B11">
            <v>3296</v>
          </cell>
        </row>
        <row r="12">
          <cell r="A12" t="str">
            <v>DKC 73-70B Gen</v>
          </cell>
          <cell r="B12">
            <v>4259</v>
          </cell>
        </row>
        <row r="13">
          <cell r="A13" t="str">
            <v>DKC 61-94 BR</v>
          </cell>
          <cell r="B13">
            <v>0</v>
          </cell>
        </row>
        <row r="14">
          <cell r="A14" t="str">
            <v>DKC 62-80 BR Gen</v>
          </cell>
          <cell r="B14">
            <v>0</v>
          </cell>
        </row>
        <row r="15">
          <cell r="A15" t="str">
            <v>DKC 62-84 R</v>
          </cell>
          <cell r="B15">
            <v>3312</v>
          </cell>
        </row>
        <row r="16">
          <cell r="A16" t="str">
            <v>DKC 64-78 BR Gen</v>
          </cell>
          <cell r="B16">
            <v>0</v>
          </cell>
        </row>
        <row r="17">
          <cell r="A17" t="str">
            <v>DKC 66-36 R</v>
          </cell>
          <cell r="B17">
            <v>0</v>
          </cell>
        </row>
        <row r="18">
          <cell r="A18" t="str">
            <v>DKC 73-74BR Gen</v>
          </cell>
          <cell r="B18">
            <v>4711</v>
          </cell>
        </row>
        <row r="19">
          <cell r="A19" t="str">
            <v>DKC 73-76 R</v>
          </cell>
          <cell r="B19">
            <v>4019</v>
          </cell>
        </row>
        <row r="20">
          <cell r="A20" t="str">
            <v>DKC 80-12B Gen</v>
          </cell>
          <cell r="B20">
            <v>3018</v>
          </cell>
        </row>
        <row r="21">
          <cell r="A21" t="str">
            <v>DKC 80-30 R</v>
          </cell>
          <cell r="B21">
            <v>3921</v>
          </cell>
        </row>
        <row r="22">
          <cell r="A22" t="str">
            <v>DKC 80-40BR Gen</v>
          </cell>
          <cell r="B22">
            <v>4672</v>
          </cell>
        </row>
        <row r="23">
          <cell r="A23" t="str">
            <v>DKC 68-50</v>
          </cell>
          <cell r="B23">
            <v>3589</v>
          </cell>
        </row>
        <row r="24">
          <cell r="A24" t="str">
            <v>DKC 68-56R</v>
          </cell>
          <cell r="B24">
            <v>4112</v>
          </cell>
        </row>
        <row r="25">
          <cell r="A25" t="str">
            <v>DKC 74-24B</v>
          </cell>
          <cell r="B25">
            <v>3038</v>
          </cell>
        </row>
        <row r="26">
          <cell r="A26" t="str">
            <v>DKC 74-26R</v>
          </cell>
          <cell r="B26">
            <v>4095</v>
          </cell>
        </row>
        <row r="27">
          <cell r="A27" t="str">
            <v>DKC 71-44B</v>
          </cell>
          <cell r="B27">
            <v>4486</v>
          </cell>
        </row>
        <row r="28">
          <cell r="A28" t="str">
            <v>DKC 68-54B</v>
          </cell>
          <cell r="B28">
            <v>4529</v>
          </cell>
        </row>
        <row r="29">
          <cell r="A29" t="str">
            <v>DKC 68-58BR</v>
          </cell>
          <cell r="B29">
            <v>4862</v>
          </cell>
        </row>
        <row r="30">
          <cell r="A30" t="str">
            <v>DKC 74-74BR</v>
          </cell>
          <cell r="B30">
            <v>4863</v>
          </cell>
        </row>
        <row r="31">
          <cell r="A31" t="str">
            <v>DKC 62-80BR Gen*</v>
          </cell>
          <cell r="B31">
            <v>3896</v>
          </cell>
        </row>
        <row r="32">
          <cell r="A32" t="str">
            <v>DKC 64-54BR*</v>
          </cell>
          <cell r="B32">
            <v>3999</v>
          </cell>
        </row>
        <row r="33">
          <cell r="A33" t="str">
            <v>DKC 64-78BR Gen*</v>
          </cell>
          <cell r="B33">
            <v>2796</v>
          </cell>
        </row>
        <row r="34">
          <cell r="A34" t="str">
            <v>DKC 65-52BR*</v>
          </cell>
          <cell r="B34">
            <v>4010</v>
          </cell>
        </row>
        <row r="35">
          <cell r="A35" t="str">
            <v xml:space="preserve">DKC 65-60 BR* </v>
          </cell>
          <cell r="B35">
            <v>3895</v>
          </cell>
        </row>
        <row r="36">
          <cell r="A36" t="str">
            <v>CRN 3505</v>
          </cell>
          <cell r="B36">
            <v>3333</v>
          </cell>
        </row>
        <row r="37">
          <cell r="A37" t="str">
            <v>DKC 78-27</v>
          </cell>
          <cell r="B37">
            <v>3746</v>
          </cell>
        </row>
        <row r="38">
          <cell r="A38" t="str">
            <v>DKC 63-53*</v>
          </cell>
          <cell r="B38">
            <v>1621</v>
          </cell>
        </row>
        <row r="39">
          <cell r="A39" t="str">
            <v>DKC 77-77 BR</v>
          </cell>
          <cell r="B39">
            <v>5069</v>
          </cell>
        </row>
        <row r="40">
          <cell r="A40" t="str">
            <v>DKC 77-85B Gen</v>
          </cell>
          <cell r="B40">
            <v>4609</v>
          </cell>
        </row>
        <row r="41">
          <cell r="A41" t="str">
            <v>DKC 78-17 B</v>
          </cell>
          <cell r="B41">
            <v>4532</v>
          </cell>
        </row>
        <row r="42">
          <cell r="A42" t="str">
            <v>DKC 78-35 R</v>
          </cell>
          <cell r="B42">
            <v>4052</v>
          </cell>
        </row>
        <row r="43">
          <cell r="A43" t="str">
            <v>DKC 78-45BR Gen</v>
          </cell>
          <cell r="B43">
            <v>4858</v>
          </cell>
        </row>
        <row r="44">
          <cell r="A44" t="str">
            <v>DKC 78-79 BR</v>
          </cell>
          <cell r="B44">
            <v>4845</v>
          </cell>
        </row>
        <row r="45">
          <cell r="A45" t="str">
            <v>DKC 78-83 R</v>
          </cell>
          <cell r="B45">
            <v>4253</v>
          </cell>
        </row>
        <row r="46">
          <cell r="A46" t="str">
            <v>DKC 78-87 B</v>
          </cell>
          <cell r="B46">
            <v>4624</v>
          </cell>
        </row>
        <row r="47">
          <cell r="A47" t="str">
            <v>DKC 76-61B</v>
          </cell>
          <cell r="B47">
            <v>4221</v>
          </cell>
        </row>
        <row r="48">
          <cell r="A48" t="str">
            <v>DKC 75-65 BR</v>
          </cell>
          <cell r="B48">
            <v>5265</v>
          </cell>
        </row>
        <row r="49">
          <cell r="A49" t="str">
            <v>DKC 76-67 BR</v>
          </cell>
          <cell r="B49">
            <v>4635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yse + Sensatiwiteitsanali"/>
      <sheetName val="W-RR mielies Laer opbrengs "/>
      <sheetName val="W-RR mielies Hoer opbrengs  "/>
      <sheetName val="W-BT Mielies "/>
      <sheetName val="Stapelgeen Mielie"/>
      <sheetName val="Verminbe Stapelgeen mielie -5jr"/>
      <sheetName val="Sonneblom"/>
      <sheetName val="Grondbone"/>
      <sheetName val="Sojabone"/>
      <sheetName val="Graansorghum"/>
      <sheetName val="Bes-mielies"/>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edprices"/>
      <sheetName val="Price sheet "/>
      <sheetName val="Crops planted"/>
      <sheetName val="Inventarus "/>
      <sheetName val="Laste"/>
      <sheetName val="vaste koste"/>
      <sheetName val="W-Mielie "/>
      <sheetName val="W-BT Mielies"/>
      <sheetName val="Sonneblom"/>
      <sheetName val="Sojabone"/>
      <sheetName val="Bes-mielies"/>
      <sheetName val="Crop Comparison"/>
      <sheetName val="Rent calcul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B2" t="str">
            <v>Maize (conven)</v>
          </cell>
          <cell r="C2" t="str">
            <v>Maize (Bt)</v>
          </cell>
          <cell r="D2" t="str">
            <v>Sunflower</v>
          </cell>
          <cell r="E2" t="str">
            <v>Soy bean</v>
          </cell>
          <cell r="F2" t="str">
            <v>Irr-Maize</v>
          </cell>
        </row>
      </sheetData>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79F2DB-001B-4831-9795-D5C5D8E8F592}" name="Table1" displayName="Table1" ref="A1:E35" totalsRowShown="0" headerRowDxfId="31" dataDxfId="30" tableBorderDxfId="29">
  <autoFilter ref="A1:E35" xr:uid="{1D79F2DB-001B-4831-9795-D5C5D8E8F592}">
    <filterColumn colId="0" hiddenButton="1"/>
    <filterColumn colId="1" hiddenButton="1"/>
    <filterColumn colId="2" hiddenButton="1"/>
    <filterColumn colId="3" hiddenButton="1"/>
    <filterColumn colId="4" hiddenButton="1"/>
  </autoFilter>
  <tableColumns count="5">
    <tableColumn id="1" xr3:uid="{68ECCDC7-57BB-4CD1-BF5E-2A2D87E2F53F}" name="EASTERN FREE STATE INCOME &amp; COST BUDGETS - SUMMER CROPS 2026/27" dataDxfId="28"/>
    <tableColumn id="2" xr3:uid="{F3201B07-BFC8-492F-89E9-746BD2D09FCF}" name="Column1" dataDxfId="27"/>
    <tableColumn id="3" xr3:uid="{969E333F-EEEF-42AB-A5CA-DEF088D3CFDA}" name="Column2" dataDxfId="26"/>
    <tableColumn id="4" xr3:uid="{88DCEEED-8799-4DC7-AB46-ADE4167EB6CF}" name="Column3" dataDxfId="25"/>
    <tableColumn id="5" xr3:uid="{323E7223-7EF9-494A-BAB6-E411BA197178}" name="Column4" dataDxfId="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7"/>
  <sheetViews>
    <sheetView tabSelected="1" zoomScale="85" zoomScaleNormal="85" workbookViewId="0">
      <selection activeCell="J4" sqref="J4"/>
    </sheetView>
  </sheetViews>
  <sheetFormatPr defaultColWidth="9.109375" defaultRowHeight="13.2" x14ac:dyDescent="0.25"/>
  <cols>
    <col min="1" max="1" width="39.109375" style="35" bestFit="1" customWidth="1"/>
    <col min="2" max="2" width="23.5546875" style="68" bestFit="1" customWidth="1"/>
    <col min="3" max="3" width="3.33203125" style="68" customWidth="1"/>
    <col min="4" max="4" width="48" style="84" bestFit="1" customWidth="1"/>
    <col min="5" max="12" width="10.6640625" style="1" customWidth="1"/>
    <col min="13" max="15" width="9.109375" style="1"/>
    <col min="16" max="16" width="22.6640625" style="1" customWidth="1"/>
    <col min="17" max="17" width="11.6640625" style="1" customWidth="1"/>
    <col min="18" max="26" width="9.44140625" style="1" customWidth="1"/>
    <col min="27" max="16384" width="9.109375" style="1"/>
  </cols>
  <sheetData>
    <row r="1" spans="1:26" s="38" customFormat="1" ht="28.5" customHeight="1" x14ac:dyDescent="0.4">
      <c r="A1" s="41" t="s">
        <v>0</v>
      </c>
      <c r="B1" s="67" t="s">
        <v>1</v>
      </c>
      <c r="C1" s="68"/>
      <c r="D1" s="83"/>
      <c r="E1" s="35"/>
      <c r="F1" s="36"/>
      <c r="G1" s="37"/>
      <c r="H1" s="35"/>
      <c r="I1" s="35"/>
      <c r="J1" s="35"/>
      <c r="K1" s="35"/>
      <c r="L1" s="35"/>
      <c r="M1" s="35"/>
      <c r="N1" s="35"/>
    </row>
    <row r="2" spans="1:26" s="38" customFormat="1" ht="13.5" customHeight="1" x14ac:dyDescent="0.3">
      <c r="A2" s="42" t="s">
        <v>2</v>
      </c>
      <c r="B2" s="349">
        <v>46269</v>
      </c>
      <c r="C2" s="68"/>
      <c r="D2" s="83"/>
      <c r="E2" s="35"/>
      <c r="F2" s="36"/>
      <c r="G2" s="37"/>
      <c r="H2" s="35"/>
      <c r="I2" s="35"/>
      <c r="J2" s="35"/>
      <c r="K2" s="35"/>
      <c r="L2" s="35"/>
      <c r="M2" s="35"/>
      <c r="N2" s="35"/>
    </row>
    <row r="3" spans="1:26" s="38" customFormat="1" ht="24.75" customHeight="1" x14ac:dyDescent="0.3">
      <c r="A3" s="45" t="s">
        <v>3</v>
      </c>
      <c r="B3" s="69" t="s">
        <v>4</v>
      </c>
      <c r="C3" s="68"/>
      <c r="D3" s="46" t="s">
        <v>5</v>
      </c>
      <c r="E3" s="35"/>
      <c r="F3" s="39"/>
      <c r="G3" s="37"/>
      <c r="H3" s="35"/>
      <c r="I3" s="35"/>
      <c r="J3" s="35"/>
      <c r="K3" s="35"/>
      <c r="L3" s="35"/>
    </row>
    <row r="4" spans="1:26" s="38" customFormat="1" ht="13.5" customHeight="1" x14ac:dyDescent="0.3">
      <c r="A4" s="56" t="s">
        <v>6</v>
      </c>
      <c r="B4" s="70">
        <v>4312</v>
      </c>
      <c r="C4" s="71"/>
      <c r="D4" s="72">
        <v>406.25</v>
      </c>
      <c r="E4" s="35"/>
      <c r="F4" s="36"/>
      <c r="G4" s="37"/>
      <c r="H4" s="35"/>
      <c r="I4" s="35"/>
      <c r="J4" s="35"/>
      <c r="K4" s="35"/>
      <c r="L4" s="35"/>
    </row>
    <row r="5" spans="1:26" s="38" customFormat="1" ht="13.5" customHeight="1" x14ac:dyDescent="0.3">
      <c r="A5" s="56" t="s">
        <v>7</v>
      </c>
      <c r="B5" s="70">
        <v>10000</v>
      </c>
      <c r="C5" s="71"/>
      <c r="D5" s="72">
        <v>477.52</v>
      </c>
      <c r="E5" s="35"/>
      <c r="F5" s="35"/>
      <c r="G5" s="35"/>
      <c r="H5" s="35"/>
      <c r="I5" s="35"/>
      <c r="J5" s="35"/>
      <c r="K5" s="35"/>
      <c r="L5" s="35"/>
      <c r="M5" s="35"/>
      <c r="N5" s="35"/>
    </row>
    <row r="6" spans="1:26" s="38" customFormat="1" ht="13.5" customHeight="1" x14ac:dyDescent="0.3">
      <c r="A6" s="56" t="s">
        <v>8</v>
      </c>
      <c r="B6" s="70">
        <v>8345</v>
      </c>
      <c r="C6" s="71"/>
      <c r="D6" s="72">
        <v>106.17</v>
      </c>
      <c r="E6" s="35"/>
      <c r="F6" s="35"/>
      <c r="G6" s="35"/>
      <c r="H6" s="35"/>
      <c r="I6" s="35"/>
      <c r="J6" s="35"/>
      <c r="K6" s="35"/>
      <c r="L6" s="35"/>
      <c r="M6" s="35"/>
      <c r="N6" s="35"/>
    </row>
    <row r="7" spans="1:26" s="38" customFormat="1" ht="13.5" customHeight="1" x14ac:dyDescent="0.3">
      <c r="A7" s="40"/>
      <c r="B7" s="73"/>
      <c r="C7" s="68"/>
      <c r="D7" s="83"/>
      <c r="E7" s="35"/>
      <c r="F7" s="35"/>
      <c r="G7" s="35"/>
      <c r="H7" s="35"/>
      <c r="I7" s="35"/>
      <c r="J7" s="35"/>
      <c r="K7" s="35"/>
      <c r="L7" s="35"/>
      <c r="M7" s="35"/>
      <c r="N7" s="35"/>
    </row>
    <row r="8" spans="1:26" s="38" customFormat="1" ht="13.5" customHeight="1" x14ac:dyDescent="0.4">
      <c r="A8" s="41"/>
      <c r="B8" s="68"/>
      <c r="C8" s="68"/>
      <c r="D8" s="83"/>
      <c r="E8" s="35"/>
      <c r="F8" s="35"/>
      <c r="G8" s="35"/>
      <c r="H8" s="35"/>
      <c r="I8" s="35"/>
      <c r="J8" s="35"/>
      <c r="K8" s="35"/>
      <c r="L8" s="35"/>
      <c r="M8" s="35"/>
      <c r="N8" s="35"/>
    </row>
    <row r="9" spans="1:26" s="38" customFormat="1" ht="13.5" customHeight="1" thickBot="1" x14ac:dyDescent="0.35">
      <c r="A9" s="272"/>
      <c r="B9" s="272"/>
      <c r="C9" s="68"/>
      <c r="D9" s="83"/>
      <c r="E9" s="35"/>
      <c r="F9" s="35"/>
      <c r="G9" s="35"/>
      <c r="H9" s="35"/>
      <c r="I9" s="35"/>
      <c r="J9" s="35"/>
      <c r="K9" s="35"/>
      <c r="L9" s="35"/>
      <c r="M9" s="35"/>
      <c r="N9" s="35"/>
    </row>
    <row r="10" spans="1:26" ht="20.25" customHeight="1" thickBot="1" x14ac:dyDescent="0.3">
      <c r="A10" s="51" t="s">
        <v>9</v>
      </c>
      <c r="B10" s="74"/>
      <c r="C10" s="75"/>
      <c r="D10" s="270" t="s">
        <v>10</v>
      </c>
      <c r="E10" s="278"/>
      <c r="F10" s="278"/>
      <c r="G10" s="278"/>
      <c r="H10" s="278"/>
      <c r="I10" s="278"/>
      <c r="J10" s="278"/>
      <c r="K10" s="278"/>
      <c r="L10" s="278"/>
      <c r="M10" s="278"/>
      <c r="N10" s="271"/>
      <c r="P10" s="270" t="s">
        <v>11</v>
      </c>
      <c r="Q10" s="278"/>
      <c r="R10" s="278"/>
      <c r="S10" s="278"/>
      <c r="T10" s="278"/>
      <c r="U10" s="278"/>
      <c r="V10" s="278"/>
      <c r="W10" s="278"/>
      <c r="X10" s="278"/>
      <c r="Y10" s="278"/>
      <c r="Z10" s="271"/>
    </row>
    <row r="11" spans="1:26" ht="13.5" customHeight="1" thickBot="1" x14ac:dyDescent="0.3">
      <c r="A11" s="47" t="s">
        <v>12</v>
      </c>
      <c r="B11" s="44">
        <f>'Crop Comparison'!C28</f>
        <v>21484.420445331543</v>
      </c>
      <c r="C11" s="43"/>
      <c r="D11" s="2"/>
      <c r="E11" s="3"/>
      <c r="F11" s="4"/>
      <c r="G11" s="5"/>
      <c r="H11" s="4"/>
      <c r="I11" s="4"/>
      <c r="J11" s="4" t="s">
        <v>13</v>
      </c>
      <c r="K11" s="6"/>
      <c r="L11" s="4"/>
      <c r="M11" s="6"/>
      <c r="N11" s="4"/>
      <c r="P11" s="2"/>
      <c r="Q11" s="3"/>
      <c r="R11" s="4"/>
      <c r="S11" s="5"/>
      <c r="T11" s="4"/>
      <c r="U11" s="4"/>
      <c r="V11" s="4" t="s">
        <v>13</v>
      </c>
      <c r="W11" s="6"/>
      <c r="X11" s="4"/>
      <c r="Y11" s="6"/>
      <c r="Z11" s="4"/>
    </row>
    <row r="12" spans="1:26" ht="13.5" customHeight="1" thickBot="1" x14ac:dyDescent="0.3">
      <c r="A12" s="47" t="s">
        <v>14</v>
      </c>
      <c r="B12" s="44">
        <f>'Crop Comparison'!C30</f>
        <v>6856.4322200999995</v>
      </c>
      <c r="C12" s="43"/>
      <c r="D12" s="270" t="s">
        <v>15</v>
      </c>
      <c r="E12" s="271"/>
      <c r="F12" s="7">
        <f>G12-250</f>
        <v>3312</v>
      </c>
      <c r="G12" s="7">
        <f>H12-250</f>
        <v>3562</v>
      </c>
      <c r="H12" s="7">
        <f>I12-250</f>
        <v>3812</v>
      </c>
      <c r="I12" s="7">
        <f>J12-250</f>
        <v>4062</v>
      </c>
      <c r="J12" s="8">
        <f>B17</f>
        <v>4312</v>
      </c>
      <c r="K12" s="7">
        <f>J12+250</f>
        <v>4562</v>
      </c>
      <c r="L12" s="7">
        <f>K12+250</f>
        <v>4812</v>
      </c>
      <c r="M12" s="7">
        <f>L12+250</f>
        <v>5062</v>
      </c>
      <c r="N12" s="7">
        <f>M12+250</f>
        <v>5312</v>
      </c>
      <c r="P12" s="270" t="s">
        <v>15</v>
      </c>
      <c r="Q12" s="271"/>
      <c r="R12" s="7">
        <f>S12-250</f>
        <v>3312</v>
      </c>
      <c r="S12" s="7">
        <f>T12-250</f>
        <v>3562</v>
      </c>
      <c r="T12" s="7">
        <f>U12-250</f>
        <v>3812</v>
      </c>
      <c r="U12" s="7">
        <f>V12-250</f>
        <v>4062</v>
      </c>
      <c r="V12" s="4">
        <f>J12</f>
        <v>4312</v>
      </c>
      <c r="W12" s="7">
        <f>V12+250</f>
        <v>4562</v>
      </c>
      <c r="X12" s="7">
        <f>W12+250</f>
        <v>4812</v>
      </c>
      <c r="Y12" s="7">
        <f>X12+250</f>
        <v>5062</v>
      </c>
      <c r="Z12" s="7">
        <f>Y12+250</f>
        <v>5312</v>
      </c>
    </row>
    <row r="13" spans="1:26" ht="13.5" customHeight="1" thickBot="1" x14ac:dyDescent="0.3">
      <c r="A13" s="48" t="s">
        <v>16</v>
      </c>
      <c r="B13" s="52">
        <f>B12+B11</f>
        <v>28340.852665431543</v>
      </c>
      <c r="C13" s="76"/>
      <c r="D13" s="276" t="s">
        <v>17</v>
      </c>
      <c r="E13" s="277"/>
      <c r="F13" s="9">
        <f t="shared" ref="F13:N13" si="0">F12-$B$18</f>
        <v>2905.75</v>
      </c>
      <c r="G13" s="9">
        <f t="shared" si="0"/>
        <v>3155.75</v>
      </c>
      <c r="H13" s="9">
        <f t="shared" si="0"/>
        <v>3405.75</v>
      </c>
      <c r="I13" s="9">
        <f t="shared" si="0"/>
        <v>3655.75</v>
      </c>
      <c r="J13" s="10">
        <f t="shared" si="0"/>
        <v>3905.75</v>
      </c>
      <c r="K13" s="9">
        <f t="shared" si="0"/>
        <v>4155.75</v>
      </c>
      <c r="L13" s="9">
        <f t="shared" si="0"/>
        <v>4405.75</v>
      </c>
      <c r="M13" s="9">
        <f t="shared" si="0"/>
        <v>4655.75</v>
      </c>
      <c r="N13" s="9">
        <f t="shared" si="0"/>
        <v>4905.75</v>
      </c>
      <c r="P13" s="276" t="s">
        <v>17</v>
      </c>
      <c r="Q13" s="277"/>
      <c r="R13" s="9">
        <f t="shared" ref="R13:Z13" si="1">R12-$B$18</f>
        <v>2905.75</v>
      </c>
      <c r="S13" s="9">
        <f t="shared" si="1"/>
        <v>3155.75</v>
      </c>
      <c r="T13" s="9">
        <f t="shared" si="1"/>
        <v>3405.75</v>
      </c>
      <c r="U13" s="9">
        <f t="shared" si="1"/>
        <v>3655.75</v>
      </c>
      <c r="V13" s="11">
        <f t="shared" si="1"/>
        <v>3905.75</v>
      </c>
      <c r="W13" s="9">
        <f t="shared" si="1"/>
        <v>4155.75</v>
      </c>
      <c r="X13" s="9">
        <f t="shared" si="1"/>
        <v>4405.75</v>
      </c>
      <c r="Y13" s="9">
        <f t="shared" si="1"/>
        <v>4655.75</v>
      </c>
      <c r="Z13" s="9">
        <f t="shared" si="1"/>
        <v>4905.75</v>
      </c>
    </row>
    <row r="14" spans="1:26" ht="13.5" customHeight="1" thickBot="1" x14ac:dyDescent="0.3">
      <c r="A14" s="47"/>
      <c r="B14" s="43"/>
      <c r="C14" s="43"/>
      <c r="D14" s="273" t="s">
        <v>18</v>
      </c>
      <c r="E14" s="12">
        <f>E15-0.5</f>
        <v>5</v>
      </c>
      <c r="F14" s="13">
        <f t="shared" ref="F14:N18" si="2">F$13-($B$13/$E14)</f>
        <v>-2762.4205330863088</v>
      </c>
      <c r="G14" s="14">
        <f t="shared" si="2"/>
        <v>-2512.4205330863088</v>
      </c>
      <c r="H14" s="14">
        <f t="shared" si="2"/>
        <v>-2262.4205330863088</v>
      </c>
      <c r="I14" s="14">
        <f t="shared" si="2"/>
        <v>-2012.4205330863088</v>
      </c>
      <c r="J14" s="14">
        <f t="shared" si="2"/>
        <v>-1762.4205330863088</v>
      </c>
      <c r="K14" s="14">
        <f t="shared" si="2"/>
        <v>-1512.4205330863088</v>
      </c>
      <c r="L14" s="14">
        <f t="shared" si="2"/>
        <v>-1262.4205330863088</v>
      </c>
      <c r="M14" s="15">
        <f t="shared" si="2"/>
        <v>-1012.4205330863088</v>
      </c>
      <c r="N14" s="16">
        <f t="shared" si="2"/>
        <v>-762.42053308630875</v>
      </c>
      <c r="P14" s="273" t="s">
        <v>18</v>
      </c>
      <c r="Q14" s="12">
        <f>Q15-0.5</f>
        <v>5</v>
      </c>
      <c r="R14" s="13">
        <f>R$13-($B$11/$E14)</f>
        <v>-1391.1340890663087</v>
      </c>
      <c r="S14" s="13">
        <f t="shared" ref="S14:Z18" si="3">S$13-($B$11/$E14)</f>
        <v>-1141.1340890663087</v>
      </c>
      <c r="T14" s="13">
        <f t="shared" si="3"/>
        <v>-891.13408906630866</v>
      </c>
      <c r="U14" s="13">
        <f t="shared" si="3"/>
        <v>-641.13408906630866</v>
      </c>
      <c r="V14" s="13">
        <f t="shared" si="3"/>
        <v>-391.13408906630866</v>
      </c>
      <c r="W14" s="13">
        <f t="shared" si="3"/>
        <v>-141.13408906630866</v>
      </c>
      <c r="X14" s="13">
        <f t="shared" si="3"/>
        <v>108.86591093369134</v>
      </c>
      <c r="Y14" s="13">
        <f t="shared" si="3"/>
        <v>358.86591093369134</v>
      </c>
      <c r="Z14" s="13">
        <f t="shared" si="3"/>
        <v>608.86591093369134</v>
      </c>
    </row>
    <row r="15" spans="1:26" ht="13.5" customHeight="1" thickBot="1" x14ac:dyDescent="0.3">
      <c r="A15" s="47" t="s">
        <v>19</v>
      </c>
      <c r="B15" s="77">
        <v>6</v>
      </c>
      <c r="C15" s="43"/>
      <c r="D15" s="274"/>
      <c r="E15" s="12">
        <f>E16-0.5</f>
        <v>5.5</v>
      </c>
      <c r="F15" s="17">
        <f t="shared" si="2"/>
        <v>-2247.132302805735</v>
      </c>
      <c r="G15" s="18">
        <f t="shared" si="2"/>
        <v>-1997.132302805735</v>
      </c>
      <c r="H15" s="18">
        <f t="shared" si="2"/>
        <v>-1747.132302805735</v>
      </c>
      <c r="I15" s="18">
        <f t="shared" si="2"/>
        <v>-1497.132302805735</v>
      </c>
      <c r="J15" s="18">
        <f t="shared" si="2"/>
        <v>-1247.132302805735</v>
      </c>
      <c r="K15" s="19">
        <f t="shared" si="2"/>
        <v>-997.13230280573498</v>
      </c>
      <c r="L15" s="19">
        <f t="shared" si="2"/>
        <v>-747.13230280573498</v>
      </c>
      <c r="M15" s="19">
        <f t="shared" si="2"/>
        <v>-497.13230280573498</v>
      </c>
      <c r="N15" s="20">
        <f t="shared" si="2"/>
        <v>-247.13230280573498</v>
      </c>
      <c r="P15" s="274"/>
      <c r="Q15" s="12">
        <f>Q16-0.5</f>
        <v>5.5</v>
      </c>
      <c r="R15" s="13">
        <f>R$13-($B$11/$E15)</f>
        <v>-1000.5082627875531</v>
      </c>
      <c r="S15" s="13">
        <f t="shared" si="3"/>
        <v>-750.50826278755312</v>
      </c>
      <c r="T15" s="13">
        <f t="shared" si="3"/>
        <v>-500.50826278755312</v>
      </c>
      <c r="U15" s="13">
        <f t="shared" si="3"/>
        <v>-250.50826278755312</v>
      </c>
      <c r="V15" s="13">
        <f t="shared" si="3"/>
        <v>-0.5082627875531216</v>
      </c>
      <c r="W15" s="13">
        <f t="shared" si="3"/>
        <v>249.49173721244688</v>
      </c>
      <c r="X15" s="13">
        <f t="shared" si="3"/>
        <v>499.49173721244688</v>
      </c>
      <c r="Y15" s="13">
        <f t="shared" si="3"/>
        <v>749.49173721244688</v>
      </c>
      <c r="Z15" s="13">
        <f t="shared" si="3"/>
        <v>999.49173721244688</v>
      </c>
    </row>
    <row r="16" spans="1:26" ht="13.5" customHeight="1" thickBot="1" x14ac:dyDescent="0.3">
      <c r="A16" s="47"/>
      <c r="B16" s="43"/>
      <c r="C16" s="43"/>
      <c r="D16" s="274"/>
      <c r="E16" s="21">
        <f>B15</f>
        <v>6</v>
      </c>
      <c r="F16" s="17">
        <f t="shared" si="2"/>
        <v>-1817.7254442385902</v>
      </c>
      <c r="G16" s="18">
        <f t="shared" si="2"/>
        <v>-1567.7254442385902</v>
      </c>
      <c r="H16" s="18">
        <f t="shared" si="2"/>
        <v>-1317.7254442385902</v>
      </c>
      <c r="I16" s="18">
        <f t="shared" si="2"/>
        <v>-1067.7254442385902</v>
      </c>
      <c r="J16" s="55">
        <f t="shared" si="2"/>
        <v>-817.72544423859017</v>
      </c>
      <c r="K16" s="19">
        <f t="shared" si="2"/>
        <v>-567.72544423859017</v>
      </c>
      <c r="L16" s="19">
        <f t="shared" si="2"/>
        <v>-317.72544423859017</v>
      </c>
      <c r="M16" s="19">
        <f t="shared" si="2"/>
        <v>-67.725444238590171</v>
      </c>
      <c r="N16" s="20">
        <f t="shared" si="2"/>
        <v>182.27455576140983</v>
      </c>
      <c r="P16" s="274"/>
      <c r="Q16" s="21">
        <f>E16</f>
        <v>6</v>
      </c>
      <c r="R16" s="13">
        <f>R$13-($B$11/$E16)</f>
        <v>-674.9867408885907</v>
      </c>
      <c r="S16" s="13">
        <f t="shared" si="3"/>
        <v>-424.9867408885907</v>
      </c>
      <c r="T16" s="13">
        <f t="shared" si="3"/>
        <v>-174.9867408885907</v>
      </c>
      <c r="U16" s="13">
        <f t="shared" si="3"/>
        <v>75.013259111409297</v>
      </c>
      <c r="V16" s="13">
        <f t="shared" si="3"/>
        <v>325.0132591114093</v>
      </c>
      <c r="W16" s="13">
        <f t="shared" si="3"/>
        <v>575.0132591114093</v>
      </c>
      <c r="X16" s="13">
        <f t="shared" si="3"/>
        <v>825.0132591114093</v>
      </c>
      <c r="Y16" s="13">
        <f t="shared" si="3"/>
        <v>1075.0132591114093</v>
      </c>
      <c r="Z16" s="13">
        <f t="shared" si="3"/>
        <v>1325.0132591114093</v>
      </c>
    </row>
    <row r="17" spans="1:26" ht="13.5" customHeight="1" thickBot="1" x14ac:dyDescent="0.3">
      <c r="A17" s="47" t="s">
        <v>20</v>
      </c>
      <c r="B17" s="44">
        <f>$B$4</f>
        <v>4312</v>
      </c>
      <c r="C17" s="43"/>
      <c r="D17" s="274"/>
      <c r="E17" s="12">
        <f>E16+0.5</f>
        <v>6.5</v>
      </c>
      <c r="F17" s="17">
        <f t="shared" si="2"/>
        <v>-1454.3811792971601</v>
      </c>
      <c r="G17" s="18">
        <f t="shared" si="2"/>
        <v>-1204.3811792971601</v>
      </c>
      <c r="H17" s="18">
        <f t="shared" si="2"/>
        <v>-954.38117929716009</v>
      </c>
      <c r="I17" s="19">
        <f t="shared" si="2"/>
        <v>-704.38117929716009</v>
      </c>
      <c r="J17" s="19">
        <f t="shared" si="2"/>
        <v>-454.38117929716009</v>
      </c>
      <c r="K17" s="19">
        <f t="shared" si="2"/>
        <v>-204.38117929716009</v>
      </c>
      <c r="L17" s="19">
        <f t="shared" si="2"/>
        <v>45.618820702839912</v>
      </c>
      <c r="M17" s="19">
        <f t="shared" si="2"/>
        <v>295.61882070283991</v>
      </c>
      <c r="N17" s="20">
        <f t="shared" si="2"/>
        <v>545.61882070283991</v>
      </c>
      <c r="P17" s="274"/>
      <c r="Q17" s="12">
        <f>Q16+0.5</f>
        <v>6.5</v>
      </c>
      <c r="R17" s="13">
        <f>R$13-($B$11/$E17)</f>
        <v>-399.5454531279297</v>
      </c>
      <c r="S17" s="13">
        <f t="shared" si="3"/>
        <v>-149.5454531279297</v>
      </c>
      <c r="T17" s="13">
        <f t="shared" si="3"/>
        <v>100.4545468720703</v>
      </c>
      <c r="U17" s="13">
        <f t="shared" si="3"/>
        <v>350.4545468720703</v>
      </c>
      <c r="V17" s="13">
        <f t="shared" si="3"/>
        <v>600.4545468720703</v>
      </c>
      <c r="W17" s="13">
        <f t="shared" si="3"/>
        <v>850.4545468720703</v>
      </c>
      <c r="X17" s="13">
        <f t="shared" si="3"/>
        <v>1100.4545468720703</v>
      </c>
      <c r="Y17" s="13">
        <f t="shared" si="3"/>
        <v>1350.4545468720703</v>
      </c>
      <c r="Z17" s="13">
        <f t="shared" si="3"/>
        <v>1600.4545468720703</v>
      </c>
    </row>
    <row r="18" spans="1:26" ht="13.5" customHeight="1" thickBot="1" x14ac:dyDescent="0.3">
      <c r="A18" s="49" t="s">
        <v>21</v>
      </c>
      <c r="B18" s="44">
        <f>D4</f>
        <v>406.25</v>
      </c>
      <c r="C18" s="43"/>
      <c r="D18" s="275"/>
      <c r="E18" s="12">
        <f>E17+0.5</f>
        <v>7</v>
      </c>
      <c r="F18" s="22">
        <f>F$13-($B$13/$E18)</f>
        <v>-1142.943237918792</v>
      </c>
      <c r="G18" s="23">
        <f>G$13-($B$13/$E18)</f>
        <v>-892.94323791879197</v>
      </c>
      <c r="H18" s="24">
        <f t="shared" si="2"/>
        <v>-642.94323791879197</v>
      </c>
      <c r="I18" s="24">
        <f t="shared" si="2"/>
        <v>-392.94323791879197</v>
      </c>
      <c r="J18" s="24">
        <f t="shared" si="2"/>
        <v>-142.94323791879197</v>
      </c>
      <c r="K18" s="24">
        <f t="shared" si="2"/>
        <v>107.05676208120803</v>
      </c>
      <c r="L18" s="24">
        <f>L$13-($B$13/$E18)</f>
        <v>357.05676208120803</v>
      </c>
      <c r="M18" s="24">
        <f t="shared" si="2"/>
        <v>607.05676208120803</v>
      </c>
      <c r="N18" s="25">
        <f>N$13-($B$13/$E18)</f>
        <v>857.05676208120803</v>
      </c>
      <c r="P18" s="275"/>
      <c r="Q18" s="12">
        <f>Q17+0.5</f>
        <v>7</v>
      </c>
      <c r="R18" s="13">
        <f>R$13-($B$11/$E18)</f>
        <v>-163.45292076164924</v>
      </c>
      <c r="S18" s="13">
        <f>S$13-($B$11/$E18)</f>
        <v>86.547079238350761</v>
      </c>
      <c r="T18" s="13">
        <f t="shared" si="3"/>
        <v>336.54707923835076</v>
      </c>
      <c r="U18" s="13">
        <f t="shared" si="3"/>
        <v>586.54707923835076</v>
      </c>
      <c r="V18" s="13">
        <f t="shared" si="3"/>
        <v>836.54707923835076</v>
      </c>
      <c r="W18" s="13">
        <f t="shared" si="3"/>
        <v>1086.5470792383508</v>
      </c>
      <c r="X18" s="13">
        <f t="shared" si="3"/>
        <v>1336.5470792383508</v>
      </c>
      <c r="Y18" s="13">
        <f t="shared" si="3"/>
        <v>1586.5470792383508</v>
      </c>
      <c r="Z18" s="13">
        <f t="shared" si="3"/>
        <v>1836.5470792383508</v>
      </c>
    </row>
    <row r="19" spans="1:26" ht="13.5" customHeight="1" x14ac:dyDescent="0.25">
      <c r="A19" s="50" t="s">
        <v>22</v>
      </c>
      <c r="B19" s="52">
        <f>B17-B18</f>
        <v>3905.75</v>
      </c>
      <c r="C19" s="43"/>
      <c r="D19" s="26"/>
      <c r="E19" s="27"/>
      <c r="F19" s="28"/>
      <c r="G19" s="28"/>
      <c r="H19" s="28"/>
      <c r="I19" s="28"/>
      <c r="J19" s="28"/>
      <c r="K19" s="28"/>
      <c r="L19" s="28"/>
      <c r="P19" s="26"/>
      <c r="Q19" s="27"/>
      <c r="R19" s="28"/>
      <c r="S19" s="28"/>
      <c r="T19" s="28"/>
      <c r="U19" s="28"/>
      <c r="V19" s="28"/>
      <c r="W19" s="28"/>
      <c r="X19" s="28"/>
    </row>
    <row r="20" spans="1:26" ht="13.5" customHeight="1" x14ac:dyDescent="0.25">
      <c r="A20" s="50"/>
      <c r="B20" s="76"/>
      <c r="C20" s="43"/>
      <c r="D20" s="26"/>
      <c r="E20" s="27"/>
      <c r="F20" s="28"/>
      <c r="G20" s="28"/>
      <c r="H20" s="28"/>
      <c r="I20" s="28"/>
      <c r="J20" s="28"/>
      <c r="K20" s="28"/>
      <c r="L20" s="28"/>
      <c r="P20" s="26"/>
      <c r="Q20" s="27"/>
      <c r="R20" s="28"/>
      <c r="S20" s="28"/>
      <c r="T20" s="28"/>
      <c r="U20" s="28"/>
      <c r="V20" s="28"/>
      <c r="W20" s="28"/>
      <c r="X20" s="28"/>
    </row>
    <row r="21" spans="1:26" ht="13.5" customHeight="1" x14ac:dyDescent="0.25">
      <c r="A21" s="50"/>
      <c r="B21" s="76"/>
      <c r="C21" s="43"/>
      <c r="D21" s="26"/>
      <c r="E21" s="27"/>
      <c r="F21" s="28"/>
      <c r="G21" s="28"/>
      <c r="H21" s="28"/>
      <c r="I21" s="28"/>
      <c r="J21" s="28"/>
      <c r="K21" s="28"/>
      <c r="L21" s="28"/>
      <c r="P21" s="26"/>
      <c r="Q21" s="27"/>
      <c r="R21" s="28"/>
      <c r="S21" s="28"/>
      <c r="T21" s="28"/>
      <c r="U21" s="28"/>
      <c r="V21" s="28"/>
      <c r="W21" s="28"/>
      <c r="X21" s="28"/>
    </row>
    <row r="22" spans="1:26" ht="13.5" customHeight="1" thickBot="1" x14ac:dyDescent="0.3">
      <c r="A22" s="272"/>
      <c r="B22" s="272"/>
      <c r="D22" s="26"/>
      <c r="E22" s="27"/>
      <c r="F22" s="28"/>
      <c r="G22" s="28"/>
      <c r="H22" s="28"/>
      <c r="I22" s="28"/>
      <c r="J22" s="28"/>
      <c r="K22" s="28"/>
      <c r="L22" s="28"/>
      <c r="P22" s="26"/>
      <c r="Q22" s="27"/>
      <c r="R22" s="28"/>
      <c r="S22" s="28"/>
      <c r="T22" s="28"/>
      <c r="U22" s="28"/>
      <c r="V22" s="28"/>
      <c r="W22" s="28"/>
      <c r="X22" s="28"/>
    </row>
    <row r="23" spans="1:26" ht="18.75" customHeight="1" thickBot="1" x14ac:dyDescent="0.3">
      <c r="A23" s="279" t="s">
        <v>23</v>
      </c>
      <c r="B23" s="279"/>
      <c r="C23" s="75"/>
      <c r="D23" s="270" t="s">
        <v>24</v>
      </c>
      <c r="E23" s="278"/>
      <c r="F23" s="278"/>
      <c r="G23" s="278"/>
      <c r="H23" s="278"/>
      <c r="I23" s="278"/>
      <c r="J23" s="278"/>
      <c r="K23" s="278"/>
      <c r="L23" s="278"/>
      <c r="M23" s="278"/>
      <c r="N23" s="271"/>
      <c r="P23" s="270" t="s">
        <v>25</v>
      </c>
      <c r="Q23" s="278"/>
      <c r="R23" s="278"/>
      <c r="S23" s="278"/>
      <c r="T23" s="278"/>
      <c r="U23" s="278"/>
      <c r="V23" s="278"/>
      <c r="W23" s="278"/>
      <c r="X23" s="278"/>
      <c r="Y23" s="278"/>
      <c r="Z23" s="271"/>
    </row>
    <row r="24" spans="1:26" ht="13.5" customHeight="1" thickBot="1" x14ac:dyDescent="0.3">
      <c r="A24" s="47" t="s">
        <v>12</v>
      </c>
      <c r="B24" s="44">
        <f>'Crop Comparison'!D28</f>
        <v>9308.6601049658293</v>
      </c>
      <c r="C24" s="43"/>
      <c r="D24" s="2"/>
      <c r="E24" s="3"/>
      <c r="F24" s="4"/>
      <c r="G24" s="5"/>
      <c r="H24" s="4"/>
      <c r="I24" s="4"/>
      <c r="J24" s="4" t="s">
        <v>13</v>
      </c>
      <c r="K24" s="6"/>
      <c r="L24" s="4"/>
      <c r="M24" s="6"/>
      <c r="N24" s="4"/>
      <c r="P24" s="2"/>
      <c r="Q24" s="3"/>
      <c r="R24" s="4"/>
      <c r="S24" s="5"/>
      <c r="T24" s="4"/>
      <c r="U24" s="4"/>
      <c r="V24" s="4" t="s">
        <v>13</v>
      </c>
      <c r="W24" s="6"/>
      <c r="X24" s="4"/>
      <c r="Y24" s="6"/>
      <c r="Z24" s="4"/>
    </row>
    <row r="25" spans="1:26" ht="13.5" customHeight="1" thickBot="1" x14ac:dyDescent="0.3">
      <c r="A25" s="47" t="s">
        <v>14</v>
      </c>
      <c r="B25" s="44">
        <f>'Crop Comparison'!D30</f>
        <v>5786.3480645999998</v>
      </c>
      <c r="C25" s="43"/>
      <c r="D25" s="270" t="s">
        <v>15</v>
      </c>
      <c r="E25" s="271"/>
      <c r="F25" s="29">
        <f>G25-200</f>
        <v>9200</v>
      </c>
      <c r="G25" s="29">
        <f>H25-200</f>
        <v>9400</v>
      </c>
      <c r="H25" s="29">
        <f>I25-200</f>
        <v>9600</v>
      </c>
      <c r="I25" s="30">
        <f>J25-200</f>
        <v>9800</v>
      </c>
      <c r="J25" s="31">
        <f>B30</f>
        <v>10000</v>
      </c>
      <c r="K25" s="30">
        <f>J25+200</f>
        <v>10200</v>
      </c>
      <c r="L25" s="30">
        <f>K25+200</f>
        <v>10400</v>
      </c>
      <c r="M25" s="30">
        <f>L25+200</f>
        <v>10600</v>
      </c>
      <c r="N25" s="30">
        <f>M25+200</f>
        <v>10800</v>
      </c>
      <c r="P25" s="270" t="s">
        <v>15</v>
      </c>
      <c r="Q25" s="271"/>
      <c r="R25" s="29">
        <f>S25-200</f>
        <v>9200</v>
      </c>
      <c r="S25" s="29">
        <f>T25-200</f>
        <v>9400</v>
      </c>
      <c r="T25" s="29">
        <f>U25-200</f>
        <v>9600</v>
      </c>
      <c r="U25" s="30">
        <f>V25-200</f>
        <v>9800</v>
      </c>
      <c r="V25" s="31">
        <f>J25</f>
        <v>10000</v>
      </c>
      <c r="W25" s="30">
        <f>V25+200</f>
        <v>10200</v>
      </c>
      <c r="X25" s="30">
        <f>W25+200</f>
        <v>10400</v>
      </c>
      <c r="Y25" s="30">
        <f>X25+200</f>
        <v>10600</v>
      </c>
      <c r="Z25" s="30">
        <f>Y25+200</f>
        <v>10800</v>
      </c>
    </row>
    <row r="26" spans="1:26" ht="13.5" customHeight="1" thickBot="1" x14ac:dyDescent="0.3">
      <c r="A26" s="48" t="s">
        <v>16</v>
      </c>
      <c r="B26" s="52">
        <f>B25+B24</f>
        <v>15095.00816956583</v>
      </c>
      <c r="C26" s="76"/>
      <c r="D26" s="276" t="s">
        <v>17</v>
      </c>
      <c r="E26" s="277"/>
      <c r="F26" s="32">
        <f t="shared" ref="F26:N26" si="4">F25-$B$31</f>
        <v>8722.48</v>
      </c>
      <c r="G26" s="32">
        <f t="shared" si="4"/>
        <v>8922.48</v>
      </c>
      <c r="H26" s="32">
        <f t="shared" si="4"/>
        <v>9122.48</v>
      </c>
      <c r="I26" s="32">
        <f t="shared" si="4"/>
        <v>9322.48</v>
      </c>
      <c r="J26" s="33">
        <f t="shared" si="4"/>
        <v>9522.48</v>
      </c>
      <c r="K26" s="32">
        <f t="shared" si="4"/>
        <v>9722.48</v>
      </c>
      <c r="L26" s="32">
        <f t="shared" si="4"/>
        <v>9922.48</v>
      </c>
      <c r="M26" s="32">
        <f t="shared" si="4"/>
        <v>10122.48</v>
      </c>
      <c r="N26" s="32">
        <f t="shared" si="4"/>
        <v>10322.48</v>
      </c>
      <c r="P26" s="276" t="s">
        <v>17</v>
      </c>
      <c r="Q26" s="277"/>
      <c r="R26" s="32">
        <f t="shared" ref="R26:Z26" si="5">R25-$B$31</f>
        <v>8722.48</v>
      </c>
      <c r="S26" s="32">
        <f t="shared" si="5"/>
        <v>8922.48</v>
      </c>
      <c r="T26" s="32">
        <f t="shared" si="5"/>
        <v>9122.48</v>
      </c>
      <c r="U26" s="32">
        <f t="shared" si="5"/>
        <v>9322.48</v>
      </c>
      <c r="V26" s="33">
        <f t="shared" si="5"/>
        <v>9522.48</v>
      </c>
      <c r="W26" s="32">
        <f t="shared" si="5"/>
        <v>9722.48</v>
      </c>
      <c r="X26" s="32">
        <f t="shared" si="5"/>
        <v>9922.48</v>
      </c>
      <c r="Y26" s="32">
        <f t="shared" si="5"/>
        <v>10122.48</v>
      </c>
      <c r="Z26" s="32">
        <f t="shared" si="5"/>
        <v>10322.48</v>
      </c>
    </row>
    <row r="27" spans="1:26" ht="13.5" customHeight="1" thickBot="1" x14ac:dyDescent="0.3">
      <c r="A27" s="47"/>
      <c r="B27" s="43"/>
      <c r="C27" s="43"/>
      <c r="D27" s="273" t="s">
        <v>18</v>
      </c>
      <c r="E27" s="12">
        <f>E28-0.25</f>
        <v>0.75</v>
      </c>
      <c r="F27" s="13">
        <f t="shared" ref="F27:N31" si="6">F$26-($B$26/$E27)</f>
        <v>-11404.197559421107</v>
      </c>
      <c r="G27" s="13">
        <f t="shared" si="6"/>
        <v>-11204.197559421107</v>
      </c>
      <c r="H27" s="13">
        <f t="shared" si="6"/>
        <v>-11004.197559421107</v>
      </c>
      <c r="I27" s="13">
        <f t="shared" si="6"/>
        <v>-10804.197559421107</v>
      </c>
      <c r="J27" s="13">
        <f t="shared" si="6"/>
        <v>-10604.197559421107</v>
      </c>
      <c r="K27" s="13">
        <f t="shared" si="6"/>
        <v>-10404.197559421107</v>
      </c>
      <c r="L27" s="13">
        <f t="shared" si="6"/>
        <v>-10204.197559421107</v>
      </c>
      <c r="M27" s="13">
        <f t="shared" si="6"/>
        <v>-10004.197559421107</v>
      </c>
      <c r="N27" s="13">
        <f t="shared" si="6"/>
        <v>-9804.1975594211071</v>
      </c>
      <c r="P27" s="273" t="s">
        <v>18</v>
      </c>
      <c r="Q27" s="12">
        <f>Q28-0.25</f>
        <v>0.75</v>
      </c>
      <c r="R27" s="13">
        <f t="shared" ref="R27:Z31" si="7">R$26-($B$24/$E27)</f>
        <v>-3689.0668066211056</v>
      </c>
      <c r="S27" s="13">
        <f t="shared" si="7"/>
        <v>-3489.0668066211056</v>
      </c>
      <c r="T27" s="13">
        <f t="shared" si="7"/>
        <v>-3289.0668066211056</v>
      </c>
      <c r="U27" s="13">
        <f t="shared" si="7"/>
        <v>-3089.0668066211056</v>
      </c>
      <c r="V27" s="13">
        <f t="shared" si="7"/>
        <v>-2889.0668066211056</v>
      </c>
      <c r="W27" s="13">
        <f t="shared" si="7"/>
        <v>-2689.0668066211056</v>
      </c>
      <c r="X27" s="13">
        <f t="shared" si="7"/>
        <v>-2489.0668066211056</v>
      </c>
      <c r="Y27" s="13">
        <f t="shared" si="7"/>
        <v>-2289.0668066211056</v>
      </c>
      <c r="Z27" s="13">
        <f t="shared" si="7"/>
        <v>-2089.0668066211056</v>
      </c>
    </row>
    <row r="28" spans="1:26" ht="13.5" customHeight="1" thickBot="1" x14ac:dyDescent="0.3">
      <c r="A28" s="47" t="s">
        <v>19</v>
      </c>
      <c r="B28" s="77">
        <v>1.25</v>
      </c>
      <c r="C28" s="43"/>
      <c r="D28" s="274"/>
      <c r="E28" s="12">
        <f>E29-0.25</f>
        <v>1</v>
      </c>
      <c r="F28" s="13">
        <f t="shared" si="6"/>
        <v>-6372.5281695658305</v>
      </c>
      <c r="G28" s="13">
        <f t="shared" si="6"/>
        <v>-6172.5281695658305</v>
      </c>
      <c r="H28" s="13">
        <f t="shared" si="6"/>
        <v>-5972.5281695658305</v>
      </c>
      <c r="I28" s="13">
        <f t="shared" si="6"/>
        <v>-5772.5281695658305</v>
      </c>
      <c r="J28" s="13">
        <f t="shared" si="6"/>
        <v>-5572.5281695658305</v>
      </c>
      <c r="K28" s="13">
        <f t="shared" si="6"/>
        <v>-5372.5281695658305</v>
      </c>
      <c r="L28" s="13">
        <f t="shared" si="6"/>
        <v>-5172.5281695658305</v>
      </c>
      <c r="M28" s="13">
        <f t="shared" si="6"/>
        <v>-4972.5281695658305</v>
      </c>
      <c r="N28" s="13">
        <f t="shared" si="6"/>
        <v>-4772.5281695658305</v>
      </c>
      <c r="P28" s="274"/>
      <c r="Q28" s="12">
        <f>Q29-0.25</f>
        <v>1</v>
      </c>
      <c r="R28" s="13">
        <f t="shared" si="7"/>
        <v>-586.18010496582974</v>
      </c>
      <c r="S28" s="13">
        <f t="shared" si="7"/>
        <v>-386.18010496582974</v>
      </c>
      <c r="T28" s="13">
        <f t="shared" si="7"/>
        <v>-186.18010496582974</v>
      </c>
      <c r="U28" s="13">
        <f t="shared" si="7"/>
        <v>13.819895034170258</v>
      </c>
      <c r="V28" s="13">
        <f t="shared" si="7"/>
        <v>213.81989503417026</v>
      </c>
      <c r="W28" s="13">
        <f t="shared" si="7"/>
        <v>413.81989503417026</v>
      </c>
      <c r="X28" s="13">
        <f t="shared" si="7"/>
        <v>613.81989503417026</v>
      </c>
      <c r="Y28" s="13">
        <f t="shared" si="7"/>
        <v>813.81989503417026</v>
      </c>
      <c r="Z28" s="13">
        <f t="shared" si="7"/>
        <v>1013.8198950341703</v>
      </c>
    </row>
    <row r="29" spans="1:26" ht="13.5" customHeight="1" thickBot="1" x14ac:dyDescent="0.3">
      <c r="A29" s="47"/>
      <c r="B29" s="43"/>
      <c r="C29" s="43"/>
      <c r="D29" s="274"/>
      <c r="E29" s="54">
        <f>B28</f>
        <v>1.25</v>
      </c>
      <c r="F29" s="13">
        <f t="shared" si="6"/>
        <v>-3353.5265356526652</v>
      </c>
      <c r="G29" s="13">
        <f t="shared" si="6"/>
        <v>-3153.5265356526652</v>
      </c>
      <c r="H29" s="13">
        <f t="shared" si="6"/>
        <v>-2953.5265356526652</v>
      </c>
      <c r="I29" s="13">
        <f t="shared" si="6"/>
        <v>-2753.5265356526652</v>
      </c>
      <c r="J29" s="13">
        <f t="shared" si="6"/>
        <v>-2553.5265356526652</v>
      </c>
      <c r="K29" s="13">
        <f t="shared" si="6"/>
        <v>-2353.5265356526652</v>
      </c>
      <c r="L29" s="13">
        <f t="shared" si="6"/>
        <v>-2153.5265356526652</v>
      </c>
      <c r="M29" s="13">
        <f t="shared" si="6"/>
        <v>-1953.5265356526652</v>
      </c>
      <c r="N29" s="13">
        <f t="shared" si="6"/>
        <v>-1753.5265356526652</v>
      </c>
      <c r="P29" s="274"/>
      <c r="Q29" s="21">
        <f>E29</f>
        <v>1.25</v>
      </c>
      <c r="R29" s="13">
        <f t="shared" si="7"/>
        <v>1275.5519160273361</v>
      </c>
      <c r="S29" s="13">
        <f t="shared" si="7"/>
        <v>1475.5519160273361</v>
      </c>
      <c r="T29" s="13">
        <f t="shared" si="7"/>
        <v>1675.5519160273361</v>
      </c>
      <c r="U29" s="13">
        <f t="shared" si="7"/>
        <v>1875.5519160273361</v>
      </c>
      <c r="V29" s="13">
        <f t="shared" si="7"/>
        <v>2075.5519160273361</v>
      </c>
      <c r="W29" s="13">
        <f t="shared" si="7"/>
        <v>2275.5519160273361</v>
      </c>
      <c r="X29" s="13">
        <f t="shared" si="7"/>
        <v>2475.5519160273361</v>
      </c>
      <c r="Y29" s="13">
        <f t="shared" si="7"/>
        <v>2675.5519160273361</v>
      </c>
      <c r="Z29" s="13">
        <f t="shared" si="7"/>
        <v>2875.5519160273361</v>
      </c>
    </row>
    <row r="30" spans="1:26" ht="13.5" customHeight="1" thickBot="1" x14ac:dyDescent="0.3">
      <c r="A30" s="47" t="s">
        <v>26</v>
      </c>
      <c r="B30" s="44">
        <f>B5</f>
        <v>10000</v>
      </c>
      <c r="C30" s="43"/>
      <c r="D30" s="274"/>
      <c r="E30" s="12">
        <f>E29+0.25</f>
        <v>1.5</v>
      </c>
      <c r="F30" s="13">
        <f t="shared" si="6"/>
        <v>-1340.8587797105538</v>
      </c>
      <c r="G30" s="13">
        <f t="shared" si="6"/>
        <v>-1140.8587797105538</v>
      </c>
      <c r="H30" s="13">
        <f t="shared" si="6"/>
        <v>-940.85877971055379</v>
      </c>
      <c r="I30" s="13">
        <f t="shared" si="6"/>
        <v>-740.85877971055379</v>
      </c>
      <c r="J30" s="13">
        <f t="shared" si="6"/>
        <v>-540.85877971055379</v>
      </c>
      <c r="K30" s="13">
        <f t="shared" si="6"/>
        <v>-340.85877971055379</v>
      </c>
      <c r="L30" s="13">
        <f t="shared" si="6"/>
        <v>-140.85877971055379</v>
      </c>
      <c r="M30" s="13">
        <f t="shared" si="6"/>
        <v>59.14122028944621</v>
      </c>
      <c r="N30" s="13">
        <f t="shared" si="6"/>
        <v>259.14122028944621</v>
      </c>
      <c r="P30" s="274"/>
      <c r="Q30" s="12">
        <f>Q29+0.25</f>
        <v>1.5</v>
      </c>
      <c r="R30" s="13">
        <f t="shared" si="7"/>
        <v>2516.706596689447</v>
      </c>
      <c r="S30" s="13">
        <f t="shared" si="7"/>
        <v>2716.706596689447</v>
      </c>
      <c r="T30" s="13">
        <f t="shared" si="7"/>
        <v>2916.706596689447</v>
      </c>
      <c r="U30" s="13">
        <f t="shared" si="7"/>
        <v>3116.706596689447</v>
      </c>
      <c r="V30" s="13">
        <f t="shared" si="7"/>
        <v>3316.706596689447</v>
      </c>
      <c r="W30" s="13">
        <f t="shared" si="7"/>
        <v>3516.706596689447</v>
      </c>
      <c r="X30" s="13">
        <f t="shared" si="7"/>
        <v>3716.706596689447</v>
      </c>
      <c r="Y30" s="13">
        <f t="shared" si="7"/>
        <v>3916.706596689447</v>
      </c>
      <c r="Z30" s="13">
        <f t="shared" si="7"/>
        <v>4116.706596689447</v>
      </c>
    </row>
    <row r="31" spans="1:26" ht="13.5" customHeight="1" thickBot="1" x14ac:dyDescent="0.3">
      <c r="A31" s="49" t="s">
        <v>21</v>
      </c>
      <c r="B31" s="44">
        <f>D5</f>
        <v>477.52</v>
      </c>
      <c r="C31" s="43"/>
      <c r="D31" s="275"/>
      <c r="E31" s="12">
        <f>E30+0.25</f>
        <v>1.75</v>
      </c>
      <c r="F31" s="13">
        <f>F$26-($B$26/$E31)</f>
        <v>96.761045962382923</v>
      </c>
      <c r="G31" s="13">
        <f t="shared" si="6"/>
        <v>296.76104596238292</v>
      </c>
      <c r="H31" s="13">
        <f t="shared" si="6"/>
        <v>496.76104596238292</v>
      </c>
      <c r="I31" s="13">
        <f t="shared" si="6"/>
        <v>696.76104596238292</v>
      </c>
      <c r="J31" s="13">
        <f t="shared" si="6"/>
        <v>896.76104596238292</v>
      </c>
      <c r="K31" s="13">
        <f t="shared" si="6"/>
        <v>1096.7610459623829</v>
      </c>
      <c r="L31" s="13">
        <f t="shared" si="6"/>
        <v>1296.7610459623829</v>
      </c>
      <c r="M31" s="13">
        <f t="shared" si="6"/>
        <v>1496.7610459623829</v>
      </c>
      <c r="N31" s="13">
        <f>N$26-($B$26/$E31)</f>
        <v>1696.7610459623829</v>
      </c>
      <c r="P31" s="275"/>
      <c r="Q31" s="12">
        <f>Q30+0.25</f>
        <v>1.75</v>
      </c>
      <c r="R31" s="13">
        <f>R$26-($B$24/$E31)</f>
        <v>3403.2456543052404</v>
      </c>
      <c r="S31" s="13">
        <f t="shared" si="7"/>
        <v>3603.2456543052404</v>
      </c>
      <c r="T31" s="13">
        <f t="shared" si="7"/>
        <v>3803.2456543052404</v>
      </c>
      <c r="U31" s="13">
        <f t="shared" si="7"/>
        <v>4003.2456543052404</v>
      </c>
      <c r="V31" s="13">
        <f t="shared" si="7"/>
        <v>4203.2456543052404</v>
      </c>
      <c r="W31" s="13">
        <f t="shared" si="7"/>
        <v>4403.2456543052404</v>
      </c>
      <c r="X31" s="13">
        <f t="shared" si="7"/>
        <v>4603.2456543052404</v>
      </c>
      <c r="Y31" s="13">
        <f t="shared" si="7"/>
        <v>4803.2456543052404</v>
      </c>
      <c r="Z31" s="13">
        <f t="shared" si="7"/>
        <v>5003.2456543052404</v>
      </c>
    </row>
    <row r="32" spans="1:26" ht="13.5" customHeight="1" x14ac:dyDescent="0.25">
      <c r="A32" s="50" t="s">
        <v>22</v>
      </c>
      <c r="B32" s="52">
        <f>B30-B31</f>
        <v>9522.48</v>
      </c>
      <c r="C32" s="43"/>
      <c r="D32" s="26"/>
      <c r="E32" s="27"/>
      <c r="F32" s="28"/>
      <c r="G32" s="28"/>
      <c r="H32" s="28"/>
      <c r="I32" s="28"/>
      <c r="J32" s="28"/>
      <c r="K32" s="28"/>
      <c r="L32" s="28"/>
      <c r="P32" s="26"/>
      <c r="Q32" s="27"/>
      <c r="R32" s="28"/>
      <c r="S32" s="28"/>
      <c r="T32" s="28"/>
      <c r="U32" s="28"/>
      <c r="V32" s="28"/>
      <c r="W32" s="28"/>
      <c r="X32" s="28"/>
    </row>
    <row r="33" spans="1:26" ht="13.5" customHeight="1" x14ac:dyDescent="0.25">
      <c r="A33" s="50"/>
      <c r="B33" s="76"/>
      <c r="C33" s="43"/>
      <c r="D33" s="26"/>
      <c r="E33" s="27"/>
      <c r="F33" s="28"/>
      <c r="G33" s="28"/>
      <c r="H33" s="28"/>
      <c r="I33" s="28"/>
      <c r="J33" s="28"/>
      <c r="K33" s="28"/>
      <c r="L33" s="28"/>
      <c r="P33" s="26"/>
      <c r="Q33" s="27"/>
      <c r="R33" s="28"/>
      <c r="S33" s="28"/>
      <c r="T33" s="28"/>
      <c r="U33" s="28"/>
      <c r="V33" s="28"/>
      <c r="W33" s="28"/>
      <c r="X33" s="28"/>
    </row>
    <row r="34" spans="1:26" ht="13.5" customHeight="1" x14ac:dyDescent="0.25">
      <c r="D34" s="26"/>
      <c r="E34" s="27"/>
      <c r="F34" s="28"/>
      <c r="G34" s="28"/>
      <c r="H34" s="28"/>
      <c r="I34" s="28"/>
      <c r="J34" s="28"/>
      <c r="K34" s="28"/>
      <c r="L34" s="28"/>
      <c r="P34" s="26"/>
      <c r="Q34" s="27"/>
      <c r="R34" s="28"/>
      <c r="S34" s="28"/>
      <c r="T34" s="28"/>
      <c r="U34" s="28"/>
      <c r="V34" s="28"/>
      <c r="W34" s="28"/>
      <c r="X34" s="28"/>
    </row>
    <row r="35" spans="1:26" ht="13.5" customHeight="1" thickBot="1" x14ac:dyDescent="0.3">
      <c r="A35" s="272"/>
      <c r="B35" s="272"/>
    </row>
    <row r="36" spans="1:26" ht="19.5" customHeight="1" thickBot="1" x14ac:dyDescent="0.3">
      <c r="A36" s="279" t="s">
        <v>27</v>
      </c>
      <c r="B36" s="279"/>
      <c r="C36" s="75"/>
      <c r="D36" s="270" t="s">
        <v>28</v>
      </c>
      <c r="E36" s="278"/>
      <c r="F36" s="278"/>
      <c r="G36" s="278"/>
      <c r="H36" s="278"/>
      <c r="I36" s="278"/>
      <c r="J36" s="278"/>
      <c r="K36" s="278"/>
      <c r="L36" s="278"/>
      <c r="M36" s="278"/>
      <c r="N36" s="271"/>
      <c r="P36" s="270" t="s">
        <v>29</v>
      </c>
      <c r="Q36" s="278"/>
      <c r="R36" s="278"/>
      <c r="S36" s="278"/>
      <c r="T36" s="278"/>
      <c r="U36" s="278"/>
      <c r="V36" s="278"/>
      <c r="W36" s="278"/>
      <c r="X36" s="278"/>
      <c r="Y36" s="278"/>
      <c r="Z36" s="271"/>
    </row>
    <row r="37" spans="1:26" ht="13.5" customHeight="1" thickBot="1" x14ac:dyDescent="0.3">
      <c r="A37" s="47" t="s">
        <v>12</v>
      </c>
      <c r="B37" s="44">
        <f>Sojabone!F26</f>
        <v>12941.518552781406</v>
      </c>
      <c r="C37" s="78"/>
      <c r="D37" s="2"/>
      <c r="E37" s="3"/>
      <c r="F37" s="4"/>
      <c r="G37" s="5"/>
      <c r="H37" s="4"/>
      <c r="I37" s="4"/>
      <c r="J37" s="4" t="s">
        <v>30</v>
      </c>
      <c r="K37" s="6"/>
      <c r="L37" s="4"/>
      <c r="M37" s="6"/>
      <c r="N37" s="4"/>
      <c r="P37" s="2"/>
      <c r="Q37" s="3"/>
      <c r="R37" s="4"/>
      <c r="S37" s="5"/>
      <c r="T37" s="4"/>
      <c r="U37" s="4"/>
      <c r="V37" s="4" t="s">
        <v>30</v>
      </c>
      <c r="W37" s="6"/>
      <c r="X37" s="4"/>
      <c r="Y37" s="6"/>
      <c r="Z37" s="4"/>
    </row>
    <row r="38" spans="1:26" ht="13.5" customHeight="1" thickBot="1" x14ac:dyDescent="0.3">
      <c r="A38" s="47" t="s">
        <v>14</v>
      </c>
      <c r="B38" s="44">
        <f>Sojabone!F28</f>
        <v>4226.6698500000002</v>
      </c>
      <c r="C38" s="78"/>
      <c r="D38" s="270" t="s">
        <v>15</v>
      </c>
      <c r="E38" s="271"/>
      <c r="F38" s="7">
        <f>G38-200</f>
        <v>7545</v>
      </c>
      <c r="G38" s="7">
        <f>H38-200</f>
        <v>7745</v>
      </c>
      <c r="H38" s="7">
        <f>I38-200</f>
        <v>7945</v>
      </c>
      <c r="I38" s="7">
        <f>J38-200</f>
        <v>8145</v>
      </c>
      <c r="J38" s="8">
        <f>B43</f>
        <v>8345</v>
      </c>
      <c r="K38" s="7">
        <f>J38+200</f>
        <v>8545</v>
      </c>
      <c r="L38" s="7">
        <f>K38+200</f>
        <v>8745</v>
      </c>
      <c r="M38" s="7">
        <f>L38+200</f>
        <v>8945</v>
      </c>
      <c r="N38" s="7">
        <f>M38+200</f>
        <v>9145</v>
      </c>
      <c r="P38" s="270" t="s">
        <v>15</v>
      </c>
      <c r="Q38" s="271"/>
      <c r="R38" s="7">
        <f>S38-200</f>
        <v>7545</v>
      </c>
      <c r="S38" s="7">
        <f>T38-200</f>
        <v>7745</v>
      </c>
      <c r="T38" s="7">
        <f>U38-200</f>
        <v>7945</v>
      </c>
      <c r="U38" s="7">
        <f>V38-200</f>
        <v>8145</v>
      </c>
      <c r="V38" s="4">
        <f>J38</f>
        <v>8345</v>
      </c>
      <c r="W38" s="7">
        <f>V38+200</f>
        <v>8545</v>
      </c>
      <c r="X38" s="7">
        <f>W38+200</f>
        <v>8745</v>
      </c>
      <c r="Y38" s="7">
        <f>X38+200</f>
        <v>8945</v>
      </c>
      <c r="Z38" s="7">
        <f>Y38+200</f>
        <v>9145</v>
      </c>
    </row>
    <row r="39" spans="1:26" ht="13.5" customHeight="1" thickBot="1" x14ac:dyDescent="0.3">
      <c r="A39" s="48" t="s">
        <v>16</v>
      </c>
      <c r="B39" s="52">
        <f>B38+B37</f>
        <v>17168.188402781409</v>
      </c>
      <c r="C39" s="79"/>
      <c r="D39" s="276" t="s">
        <v>17</v>
      </c>
      <c r="E39" s="277"/>
      <c r="F39" s="34">
        <f t="shared" ref="F39:N39" si="8">F38-$B$44</f>
        <v>7438.83</v>
      </c>
      <c r="G39" s="9">
        <f t="shared" si="8"/>
        <v>7638.83</v>
      </c>
      <c r="H39" s="9">
        <f t="shared" si="8"/>
        <v>7838.83</v>
      </c>
      <c r="I39" s="9">
        <f t="shared" si="8"/>
        <v>8038.83</v>
      </c>
      <c r="J39" s="11">
        <f t="shared" si="8"/>
        <v>8238.83</v>
      </c>
      <c r="K39" s="9">
        <f t="shared" si="8"/>
        <v>8438.83</v>
      </c>
      <c r="L39" s="9">
        <f t="shared" si="8"/>
        <v>8638.83</v>
      </c>
      <c r="M39" s="9">
        <f t="shared" si="8"/>
        <v>8838.83</v>
      </c>
      <c r="N39" s="9">
        <f t="shared" si="8"/>
        <v>9038.83</v>
      </c>
      <c r="P39" s="276" t="s">
        <v>17</v>
      </c>
      <c r="Q39" s="277"/>
      <c r="R39" s="9">
        <f t="shared" ref="R39:Z39" si="9">R38-$B$44</f>
        <v>7438.83</v>
      </c>
      <c r="S39" s="9">
        <f t="shared" si="9"/>
        <v>7638.83</v>
      </c>
      <c r="T39" s="9">
        <f t="shared" si="9"/>
        <v>7838.83</v>
      </c>
      <c r="U39" s="9">
        <f t="shared" si="9"/>
        <v>8038.83</v>
      </c>
      <c r="V39" s="11">
        <f t="shared" si="9"/>
        <v>8238.83</v>
      </c>
      <c r="W39" s="9">
        <f t="shared" si="9"/>
        <v>8438.83</v>
      </c>
      <c r="X39" s="9">
        <f t="shared" si="9"/>
        <v>8638.83</v>
      </c>
      <c r="Y39" s="9">
        <f t="shared" si="9"/>
        <v>8838.83</v>
      </c>
      <c r="Z39" s="9">
        <f t="shared" si="9"/>
        <v>9038.83</v>
      </c>
    </row>
    <row r="40" spans="1:26" ht="13.5" customHeight="1" thickBot="1" x14ac:dyDescent="0.3">
      <c r="A40" s="47"/>
      <c r="B40" s="43"/>
      <c r="C40" s="80"/>
      <c r="D40" s="273" t="s">
        <v>18</v>
      </c>
      <c r="E40" s="12">
        <f>E41-0.25</f>
        <v>1.5</v>
      </c>
      <c r="F40" s="13">
        <f>F$39-($B$39/$E40)</f>
        <v>-4006.6289351876057</v>
      </c>
      <c r="G40" s="14">
        <f t="shared" ref="F40:N44" si="10">G$39-($B$39/$E40)</f>
        <v>-3806.6289351876057</v>
      </c>
      <c r="H40" s="14">
        <f t="shared" si="10"/>
        <v>-3606.6289351876057</v>
      </c>
      <c r="I40" s="14">
        <f t="shared" si="10"/>
        <v>-3406.6289351876057</v>
      </c>
      <c r="J40" s="14">
        <f t="shared" si="10"/>
        <v>-3206.6289351876057</v>
      </c>
      <c r="K40" s="14">
        <f t="shared" si="10"/>
        <v>-3006.6289351876057</v>
      </c>
      <c r="L40" s="14">
        <f t="shared" si="10"/>
        <v>-2806.6289351876057</v>
      </c>
      <c r="M40" s="15">
        <f t="shared" si="10"/>
        <v>-2606.6289351876057</v>
      </c>
      <c r="N40" s="16">
        <f t="shared" si="10"/>
        <v>-2406.6289351876057</v>
      </c>
      <c r="P40" s="273" t="s">
        <v>18</v>
      </c>
      <c r="Q40" s="12">
        <f>Q41-0.25</f>
        <v>1.5</v>
      </c>
      <c r="R40" s="13">
        <f>R$39-($B$37/$E40)</f>
        <v>-1188.8490351876044</v>
      </c>
      <c r="S40" s="13">
        <f t="shared" ref="S40:Z40" si="11">S$39-($B$37/$E40)</f>
        <v>-988.84903518760439</v>
      </c>
      <c r="T40" s="13">
        <f t="shared" si="11"/>
        <v>-788.84903518760439</v>
      </c>
      <c r="U40" s="13">
        <f t="shared" si="11"/>
        <v>-588.84903518760439</v>
      </c>
      <c r="V40" s="13">
        <f t="shared" si="11"/>
        <v>-388.84903518760439</v>
      </c>
      <c r="W40" s="13">
        <f t="shared" si="11"/>
        <v>-188.84903518760439</v>
      </c>
      <c r="X40" s="13">
        <f t="shared" si="11"/>
        <v>11.150964812395614</v>
      </c>
      <c r="Y40" s="13">
        <f t="shared" si="11"/>
        <v>211.15096481239561</v>
      </c>
      <c r="Z40" s="13">
        <f t="shared" si="11"/>
        <v>411.15096481239561</v>
      </c>
    </row>
    <row r="41" spans="1:26" ht="13.5" customHeight="1" thickBot="1" x14ac:dyDescent="0.3">
      <c r="A41" s="47" t="s">
        <v>19</v>
      </c>
      <c r="B41" s="77">
        <v>2</v>
      </c>
      <c r="C41" s="81"/>
      <c r="D41" s="274"/>
      <c r="E41" s="12">
        <f>E42-0.25</f>
        <v>1.75</v>
      </c>
      <c r="F41" s="17">
        <f t="shared" si="10"/>
        <v>-2371.563373017947</v>
      </c>
      <c r="G41" s="18">
        <f t="shared" si="10"/>
        <v>-2171.563373017947</v>
      </c>
      <c r="H41" s="18">
        <f t="shared" si="10"/>
        <v>-1971.563373017947</v>
      </c>
      <c r="I41" s="18">
        <f t="shared" si="10"/>
        <v>-1771.563373017947</v>
      </c>
      <c r="J41" s="18">
        <f t="shared" si="10"/>
        <v>-1571.563373017947</v>
      </c>
      <c r="K41" s="19">
        <f t="shared" si="10"/>
        <v>-1371.563373017947</v>
      </c>
      <c r="L41" s="19">
        <f t="shared" si="10"/>
        <v>-1171.563373017947</v>
      </c>
      <c r="M41" s="19">
        <f t="shared" si="10"/>
        <v>-971.56337301794701</v>
      </c>
      <c r="N41" s="20">
        <f t="shared" si="10"/>
        <v>-771.56337301794701</v>
      </c>
      <c r="P41" s="274"/>
      <c r="Q41" s="12">
        <f>Q42-0.25</f>
        <v>1.75</v>
      </c>
      <c r="R41" s="13">
        <f t="shared" ref="R41:Z44" si="12">R$39-($B$37/$E41)</f>
        <v>43.676541267767789</v>
      </c>
      <c r="S41" s="13">
        <f t="shared" si="12"/>
        <v>243.67654126776779</v>
      </c>
      <c r="T41" s="13">
        <f t="shared" si="12"/>
        <v>443.67654126776779</v>
      </c>
      <c r="U41" s="13">
        <f t="shared" si="12"/>
        <v>643.67654126776779</v>
      </c>
      <c r="V41" s="13">
        <f t="shared" si="12"/>
        <v>843.67654126776779</v>
      </c>
      <c r="W41" s="13">
        <f t="shared" si="12"/>
        <v>1043.6765412677678</v>
      </c>
      <c r="X41" s="13">
        <f t="shared" si="12"/>
        <v>1243.6765412677678</v>
      </c>
      <c r="Y41" s="13">
        <f t="shared" si="12"/>
        <v>1443.6765412677678</v>
      </c>
      <c r="Z41" s="13">
        <f t="shared" si="12"/>
        <v>1643.6765412677678</v>
      </c>
    </row>
    <row r="42" spans="1:26" ht="13.5" customHeight="1" thickBot="1" x14ac:dyDescent="0.3">
      <c r="A42" s="47"/>
      <c r="B42" s="43"/>
      <c r="C42" s="80"/>
      <c r="D42" s="274"/>
      <c r="E42" s="21">
        <f>B41</f>
        <v>2</v>
      </c>
      <c r="F42" s="17">
        <f t="shared" si="10"/>
        <v>-1145.2642013907043</v>
      </c>
      <c r="G42" s="18">
        <f t="shared" si="10"/>
        <v>-945.26420139070433</v>
      </c>
      <c r="H42" s="18">
        <f t="shared" si="10"/>
        <v>-745.26420139070433</v>
      </c>
      <c r="I42" s="18">
        <f t="shared" si="10"/>
        <v>-545.26420139070433</v>
      </c>
      <c r="J42" s="19">
        <f t="shared" si="10"/>
        <v>-345.26420139070433</v>
      </c>
      <c r="K42" s="19">
        <f t="shared" si="10"/>
        <v>-145.26420139070433</v>
      </c>
      <c r="L42" s="19">
        <f t="shared" si="10"/>
        <v>54.735798609295671</v>
      </c>
      <c r="M42" s="19">
        <f t="shared" si="10"/>
        <v>254.73579860929567</v>
      </c>
      <c r="N42" s="20">
        <f t="shared" si="10"/>
        <v>454.73579860929567</v>
      </c>
      <c r="P42" s="274"/>
      <c r="Q42" s="21">
        <f>E42</f>
        <v>2</v>
      </c>
      <c r="R42" s="13">
        <f>R$39-($B$37/$E42)</f>
        <v>968.07072360929669</v>
      </c>
      <c r="S42" s="13">
        <f t="shared" si="12"/>
        <v>1168.0707236092967</v>
      </c>
      <c r="T42" s="13">
        <f t="shared" si="12"/>
        <v>1368.0707236092967</v>
      </c>
      <c r="U42" s="13">
        <f t="shared" si="12"/>
        <v>1568.0707236092967</v>
      </c>
      <c r="V42" s="13">
        <f t="shared" si="12"/>
        <v>1768.0707236092967</v>
      </c>
      <c r="W42" s="13">
        <f t="shared" si="12"/>
        <v>1968.0707236092967</v>
      </c>
      <c r="X42" s="13">
        <f t="shared" si="12"/>
        <v>2168.0707236092967</v>
      </c>
      <c r="Y42" s="13">
        <f t="shared" si="12"/>
        <v>2368.0707236092967</v>
      </c>
      <c r="Z42" s="13">
        <f t="shared" si="12"/>
        <v>2568.0707236092967</v>
      </c>
    </row>
    <row r="43" spans="1:26" ht="13.5" customHeight="1" thickBot="1" x14ac:dyDescent="0.3">
      <c r="A43" s="47" t="s">
        <v>31</v>
      </c>
      <c r="B43" s="44">
        <f>B6</f>
        <v>8345</v>
      </c>
      <c r="C43" s="80"/>
      <c r="D43" s="274"/>
      <c r="E43" s="12">
        <f>E42+0.25</f>
        <v>2.25</v>
      </c>
      <c r="F43" s="17">
        <f t="shared" si="10"/>
        <v>-191.47595679173719</v>
      </c>
      <c r="G43" s="18">
        <f t="shared" si="10"/>
        <v>8.5240432082628104</v>
      </c>
      <c r="H43" s="18">
        <f t="shared" si="10"/>
        <v>208.52404320826281</v>
      </c>
      <c r="I43" s="19">
        <f t="shared" si="10"/>
        <v>408.52404320826281</v>
      </c>
      <c r="J43" s="19">
        <f t="shared" si="10"/>
        <v>608.52404320826281</v>
      </c>
      <c r="K43" s="19">
        <f t="shared" si="10"/>
        <v>808.52404320826281</v>
      </c>
      <c r="L43" s="19">
        <f t="shared" si="10"/>
        <v>1008.5240432082628</v>
      </c>
      <c r="M43" s="19">
        <f t="shared" si="10"/>
        <v>1208.5240432082628</v>
      </c>
      <c r="N43" s="20">
        <f t="shared" si="10"/>
        <v>1408.5240432082628</v>
      </c>
      <c r="P43" s="274"/>
      <c r="Q43" s="12">
        <f>Q42+0.25</f>
        <v>2.25</v>
      </c>
      <c r="R43" s="13">
        <f t="shared" si="12"/>
        <v>1687.0439765415967</v>
      </c>
      <c r="S43" s="13">
        <f t="shared" si="12"/>
        <v>1887.0439765415967</v>
      </c>
      <c r="T43" s="13">
        <f t="shared" si="12"/>
        <v>2087.0439765415967</v>
      </c>
      <c r="U43" s="13">
        <f t="shared" si="12"/>
        <v>2287.0439765415967</v>
      </c>
      <c r="V43" s="13">
        <f t="shared" si="12"/>
        <v>2487.0439765415967</v>
      </c>
      <c r="W43" s="13">
        <f t="shared" si="12"/>
        <v>2687.0439765415967</v>
      </c>
      <c r="X43" s="13">
        <f t="shared" si="12"/>
        <v>2887.0439765415967</v>
      </c>
      <c r="Y43" s="13">
        <f t="shared" si="12"/>
        <v>3087.0439765415967</v>
      </c>
      <c r="Z43" s="13">
        <f t="shared" si="12"/>
        <v>3287.0439765415967</v>
      </c>
    </row>
    <row r="44" spans="1:26" ht="13.5" customHeight="1" thickBot="1" x14ac:dyDescent="0.3">
      <c r="A44" s="49" t="s">
        <v>21</v>
      </c>
      <c r="B44" s="44">
        <f>D6</f>
        <v>106.17</v>
      </c>
      <c r="C44" s="82"/>
      <c r="D44" s="275"/>
      <c r="E44" s="12">
        <f>E43+0.25</f>
        <v>2.5</v>
      </c>
      <c r="F44" s="22">
        <f t="shared" si="10"/>
        <v>571.55463888743634</v>
      </c>
      <c r="G44" s="23">
        <f>G$39-($B$39/$E44)</f>
        <v>771.55463888743634</v>
      </c>
      <c r="H44" s="24">
        <f t="shared" si="10"/>
        <v>971.55463888743634</v>
      </c>
      <c r="I44" s="24">
        <f t="shared" si="10"/>
        <v>1171.5546388874363</v>
      </c>
      <c r="J44" s="24">
        <f t="shared" si="10"/>
        <v>1371.5546388874363</v>
      </c>
      <c r="K44" s="24">
        <f t="shared" si="10"/>
        <v>1571.5546388874363</v>
      </c>
      <c r="L44" s="24">
        <f t="shared" si="10"/>
        <v>1771.5546388874363</v>
      </c>
      <c r="M44" s="24">
        <f t="shared" si="10"/>
        <v>1971.5546388874363</v>
      </c>
      <c r="N44" s="25">
        <f>N$39-($B$39/$E44)</f>
        <v>2171.5546388874363</v>
      </c>
      <c r="P44" s="275"/>
      <c r="Q44" s="12">
        <f>Q43+0.25</f>
        <v>2.5</v>
      </c>
      <c r="R44" s="13">
        <f t="shared" si="12"/>
        <v>2262.2225788874375</v>
      </c>
      <c r="S44" s="13">
        <f>S$39-($B$37/$E44)</f>
        <v>2462.2225788874375</v>
      </c>
      <c r="T44" s="13">
        <f t="shared" si="12"/>
        <v>2662.2225788874375</v>
      </c>
      <c r="U44" s="13">
        <f t="shared" si="12"/>
        <v>2862.2225788874375</v>
      </c>
      <c r="V44" s="13">
        <f t="shared" si="12"/>
        <v>3062.2225788874375</v>
      </c>
      <c r="W44" s="13">
        <f t="shared" si="12"/>
        <v>3262.2225788874375</v>
      </c>
      <c r="X44" s="13">
        <f t="shared" si="12"/>
        <v>3462.2225788874375</v>
      </c>
      <c r="Y44" s="13">
        <f t="shared" si="12"/>
        <v>3662.2225788874375</v>
      </c>
      <c r="Z44" s="13">
        <f t="shared" si="12"/>
        <v>3862.2225788874375</v>
      </c>
    </row>
    <row r="45" spans="1:26" ht="13.5" customHeight="1" x14ac:dyDescent="0.25">
      <c r="A45" s="50" t="s">
        <v>22</v>
      </c>
      <c r="B45" s="52">
        <f>B43-B44</f>
        <v>8238.83</v>
      </c>
      <c r="C45" s="82"/>
    </row>
    <row r="46" spans="1:26" ht="13.5" customHeight="1" x14ac:dyDescent="0.25"/>
    <row r="47" spans="1:26" ht="13.5" customHeight="1" x14ac:dyDescent="0.25"/>
  </sheetData>
  <sheetProtection selectLockedCells="1"/>
  <mergeCells count="29">
    <mergeCell ref="A9:B9"/>
    <mergeCell ref="D38:E38"/>
    <mergeCell ref="P38:Q38"/>
    <mergeCell ref="P13:Q13"/>
    <mergeCell ref="A23:B23"/>
    <mergeCell ref="A36:B36"/>
    <mergeCell ref="D14:D18"/>
    <mergeCell ref="P14:P18"/>
    <mergeCell ref="D10:N10"/>
    <mergeCell ref="P10:Z10"/>
    <mergeCell ref="D12:E12"/>
    <mergeCell ref="P12:Q12"/>
    <mergeCell ref="D13:E13"/>
    <mergeCell ref="D23:N23"/>
    <mergeCell ref="P23:Z23"/>
    <mergeCell ref="D25:E25"/>
    <mergeCell ref="P25:Q25"/>
    <mergeCell ref="A22:B22"/>
    <mergeCell ref="D40:D44"/>
    <mergeCell ref="P40:P44"/>
    <mergeCell ref="D26:E26"/>
    <mergeCell ref="P26:Q26"/>
    <mergeCell ref="D27:D31"/>
    <mergeCell ref="P27:P31"/>
    <mergeCell ref="D36:N36"/>
    <mergeCell ref="P36:Z36"/>
    <mergeCell ref="D39:E39"/>
    <mergeCell ref="P39:Q39"/>
    <mergeCell ref="A35:B35"/>
  </mergeCells>
  <conditionalFormatting sqref="F14:N18">
    <cfRule type="cellIs" dxfId="23" priority="45" stopIfTrue="1" operator="lessThan">
      <formula>1</formula>
    </cfRule>
    <cfRule type="cellIs" dxfId="22" priority="46" stopIfTrue="1" operator="greaterThan">
      <formula>1</formula>
    </cfRule>
    <cfRule type="cellIs" dxfId="21" priority="47" stopIfTrue="1" operator="lessThan">
      <formula>1</formula>
    </cfRule>
    <cfRule type="cellIs" dxfId="20" priority="48" stopIfTrue="1" operator="greaterThan">
      <formula>1</formula>
    </cfRule>
  </conditionalFormatting>
  <conditionalFormatting sqref="F27:N31">
    <cfRule type="cellIs" dxfId="19" priority="29" stopIfTrue="1" operator="lessThan">
      <formula>1</formula>
    </cfRule>
    <cfRule type="cellIs" dxfId="18" priority="30" stopIfTrue="1" operator="greaterThan">
      <formula>1</formula>
    </cfRule>
    <cfRule type="cellIs" dxfId="17" priority="31" stopIfTrue="1" operator="lessThan">
      <formula>1</formula>
    </cfRule>
    <cfRule type="cellIs" dxfId="16" priority="32" stopIfTrue="1" operator="greaterThan">
      <formula>1</formula>
    </cfRule>
  </conditionalFormatting>
  <conditionalFormatting sqref="F40:N44">
    <cfRule type="cellIs" dxfId="15" priority="41" stopIfTrue="1" operator="lessThan">
      <formula>1</formula>
    </cfRule>
    <cfRule type="cellIs" dxfId="14" priority="42" stopIfTrue="1" operator="greaterThan">
      <formula>1</formula>
    </cfRule>
    <cfRule type="cellIs" dxfId="13" priority="43" stopIfTrue="1" operator="lessThan">
      <formula>1</formula>
    </cfRule>
    <cfRule type="cellIs" dxfId="12" priority="44" stopIfTrue="1" operator="greaterThan">
      <formula>1</formula>
    </cfRule>
  </conditionalFormatting>
  <conditionalFormatting sqref="R14:Z18">
    <cfRule type="cellIs" dxfId="11" priority="37" stopIfTrue="1" operator="lessThan">
      <formula>1</formula>
    </cfRule>
    <cfRule type="cellIs" dxfId="10" priority="38" stopIfTrue="1" operator="greaterThan">
      <formula>1</formula>
    </cfRule>
    <cfRule type="cellIs" dxfId="9" priority="39" stopIfTrue="1" operator="lessThan">
      <formula>1</formula>
    </cfRule>
    <cfRule type="cellIs" dxfId="8" priority="40" stopIfTrue="1" operator="greaterThan">
      <formula>1</formula>
    </cfRule>
  </conditionalFormatting>
  <conditionalFormatting sqref="R27:Z31">
    <cfRule type="cellIs" dxfId="7" priority="25" stopIfTrue="1" operator="lessThan">
      <formula>1</formula>
    </cfRule>
    <cfRule type="cellIs" dxfId="6" priority="26" stopIfTrue="1" operator="greaterThan">
      <formula>1</formula>
    </cfRule>
    <cfRule type="cellIs" dxfId="5" priority="27" stopIfTrue="1" operator="lessThan">
      <formula>1</formula>
    </cfRule>
    <cfRule type="cellIs" dxfId="4" priority="28" stopIfTrue="1" operator="greaterThan">
      <formula>1</formula>
    </cfRule>
  </conditionalFormatting>
  <conditionalFormatting sqref="R40:Z44">
    <cfRule type="cellIs" dxfId="3" priority="33" stopIfTrue="1" operator="lessThan">
      <formula>1</formula>
    </cfRule>
    <cfRule type="cellIs" dxfId="2" priority="34" stopIfTrue="1" operator="greaterThan">
      <formula>1</formula>
    </cfRule>
    <cfRule type="cellIs" dxfId="1" priority="35" stopIfTrue="1" operator="lessThan">
      <formula>1</formula>
    </cfRule>
    <cfRule type="cellIs" dxfId="0" priority="36" stopIfTrue="1" operator="greaterThan">
      <formula>1</formula>
    </cfRule>
  </conditionalFormatting>
  <dataValidations count="3">
    <dataValidation type="list" allowBlank="1" showInputMessage="1" showErrorMessage="1" sqref="B15" xr:uid="{00000000-0002-0000-0000-000000000000}">
      <formula1>Obrengspeil</formula1>
    </dataValidation>
    <dataValidation type="list" allowBlank="1" showInputMessage="1" showErrorMessage="1" sqref="B28" xr:uid="{00000000-0002-0000-0000-000001000000}">
      <formula1>Sonopbrengspeil</formula1>
    </dataValidation>
    <dataValidation type="list" allowBlank="1" showInputMessage="1" showErrorMessage="1" sqref="B41" xr:uid="{00000000-0002-0000-0000-000002000000}">
      <formula1>Sojaopbrengspeil</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7"/>
  <sheetViews>
    <sheetView topLeftCell="A7" zoomScale="70" zoomScaleNormal="70" zoomScaleSheetLayoutView="90" workbookViewId="0">
      <selection activeCell="K22" sqref="K22"/>
    </sheetView>
  </sheetViews>
  <sheetFormatPr defaultColWidth="9.109375" defaultRowHeight="14.4" x14ac:dyDescent="0.3"/>
  <cols>
    <col min="1" max="1" width="41.6640625" style="96" customWidth="1"/>
    <col min="2" max="2" width="18" style="96" customWidth="1"/>
    <col min="3" max="3" width="26.88671875" style="96" customWidth="1"/>
    <col min="4" max="4" width="14.6640625" style="96" customWidth="1"/>
    <col min="5" max="9" width="14.33203125" style="96" customWidth="1"/>
    <col min="10" max="10" width="14.44140625" style="96" customWidth="1"/>
    <col min="11" max="11" width="30.44140625" style="96" customWidth="1"/>
    <col min="12" max="26" width="12.6640625" style="96" customWidth="1"/>
    <col min="27" max="16384" width="9.109375" style="96"/>
  </cols>
  <sheetData>
    <row r="1" spans="1:9" ht="30.75" customHeight="1" thickBot="1" x14ac:dyDescent="0.35">
      <c r="A1" s="293" t="s">
        <v>132</v>
      </c>
      <c r="B1" s="294"/>
      <c r="C1" s="294"/>
      <c r="D1" s="294"/>
      <c r="E1" s="295" t="s">
        <v>32</v>
      </c>
      <c r="F1" s="295"/>
      <c r="G1" s="295"/>
      <c r="H1" s="94"/>
      <c r="I1" s="95"/>
    </row>
    <row r="2" spans="1:9" ht="15" thickBot="1" x14ac:dyDescent="0.35">
      <c r="A2" s="97"/>
      <c r="B2" s="98"/>
      <c r="C2" s="99"/>
      <c r="D2" s="99"/>
      <c r="E2" s="99"/>
      <c r="F2" s="99"/>
      <c r="G2" s="99"/>
      <c r="H2" s="99"/>
      <c r="I2" s="100"/>
    </row>
    <row r="3" spans="1:9" ht="33" customHeight="1" thickBot="1" x14ac:dyDescent="0.35">
      <c r="A3" s="304" t="s">
        <v>33</v>
      </c>
      <c r="B3" s="305"/>
      <c r="C3" s="305"/>
      <c r="D3" s="101"/>
      <c r="E3" s="102">
        <f>'Pryse + Sensatiwiteitsanalise'!B19</f>
        <v>3905.75</v>
      </c>
      <c r="F3" s="101" t="s">
        <v>34</v>
      </c>
      <c r="G3" s="103"/>
      <c r="H3" s="103"/>
      <c r="I3" s="104"/>
    </row>
    <row r="4" spans="1:9" ht="15" thickBot="1" x14ac:dyDescent="0.35">
      <c r="A4" s="105"/>
      <c r="B4" s="106"/>
      <c r="C4" s="106"/>
      <c r="D4" s="107"/>
      <c r="E4" s="108"/>
      <c r="F4" s="109"/>
      <c r="G4" s="106"/>
      <c r="H4" s="110"/>
      <c r="I4" s="110"/>
    </row>
    <row r="5" spans="1:9" ht="15" thickBot="1" x14ac:dyDescent="0.35">
      <c r="A5" s="111" t="s">
        <v>35</v>
      </c>
      <c r="B5" s="106"/>
      <c r="C5" s="106"/>
      <c r="D5" s="112">
        <v>3.5</v>
      </c>
      <c r="E5" s="112">
        <v>4</v>
      </c>
      <c r="F5" s="112">
        <v>4.5</v>
      </c>
      <c r="G5" s="112">
        <v>5</v>
      </c>
      <c r="H5" s="112">
        <v>5.5</v>
      </c>
      <c r="I5" s="112">
        <v>6</v>
      </c>
    </row>
    <row r="6" spans="1:9" ht="15" thickBot="1" x14ac:dyDescent="0.35">
      <c r="A6" s="113" t="s">
        <v>36</v>
      </c>
      <c r="B6" s="114"/>
      <c r="C6" s="115"/>
      <c r="D6" s="116">
        <v>13617.625</v>
      </c>
      <c r="E6" s="116">
        <v>15563</v>
      </c>
      <c r="F6" s="116">
        <v>17508.375</v>
      </c>
      <c r="G6" s="116">
        <v>19453.75</v>
      </c>
      <c r="H6" s="116">
        <v>21399.125</v>
      </c>
      <c r="I6" s="116">
        <v>23344.5</v>
      </c>
    </row>
    <row r="7" spans="1:9" ht="15" thickBot="1" x14ac:dyDescent="0.35">
      <c r="A7" s="117"/>
      <c r="B7" s="118"/>
      <c r="C7" s="118"/>
      <c r="D7" s="119"/>
      <c r="E7" s="119"/>
      <c r="F7" s="119"/>
      <c r="G7" s="119"/>
      <c r="H7" s="119"/>
      <c r="I7" s="119"/>
    </row>
    <row r="8" spans="1:9" ht="15" thickBot="1" x14ac:dyDescent="0.35">
      <c r="A8" s="306" t="s">
        <v>37</v>
      </c>
      <c r="B8" s="307"/>
      <c r="C8" s="308"/>
      <c r="D8" s="120"/>
      <c r="E8" s="120"/>
      <c r="F8" s="120"/>
      <c r="G8" s="120"/>
      <c r="H8" s="120"/>
      <c r="I8" s="120"/>
    </row>
    <row r="9" spans="1:9" x14ac:dyDescent="0.3">
      <c r="A9" s="147" t="s">
        <v>38</v>
      </c>
      <c r="B9" s="121"/>
      <c r="C9" s="121"/>
      <c r="D9" s="122">
        <v>1405.216645</v>
      </c>
      <c r="E9" s="122">
        <v>1505.5892624999999</v>
      </c>
      <c r="F9" s="122">
        <v>1505.5892624999999</v>
      </c>
      <c r="G9" s="122">
        <v>1656.1481887499999</v>
      </c>
      <c r="H9" s="122">
        <v>1656.1481887499999</v>
      </c>
      <c r="I9" s="122">
        <v>1806.7071149999999</v>
      </c>
    </row>
    <row r="10" spans="1:9" x14ac:dyDescent="0.3">
      <c r="A10" s="148" t="s">
        <v>39</v>
      </c>
      <c r="B10" s="123"/>
      <c r="C10" s="123"/>
      <c r="D10" s="124">
        <v>4766.4449999999997</v>
      </c>
      <c r="E10" s="124">
        <v>5433.08</v>
      </c>
      <c r="F10" s="124">
        <v>6099.7150000000011</v>
      </c>
      <c r="G10" s="124">
        <v>6766.35</v>
      </c>
      <c r="H10" s="124">
        <v>7432.9850000000006</v>
      </c>
      <c r="I10" s="124">
        <v>8099.62</v>
      </c>
    </row>
    <row r="11" spans="1:9" x14ac:dyDescent="0.3">
      <c r="A11" s="148" t="s">
        <v>40</v>
      </c>
      <c r="B11" s="123"/>
      <c r="C11" s="123"/>
      <c r="D11" s="124">
        <v>800</v>
      </c>
      <c r="E11" s="124">
        <v>800</v>
      </c>
      <c r="F11" s="124">
        <v>800</v>
      </c>
      <c r="G11" s="124">
        <v>800</v>
      </c>
      <c r="H11" s="124">
        <v>800</v>
      </c>
      <c r="I11" s="124">
        <v>800</v>
      </c>
    </row>
    <row r="12" spans="1:9" x14ac:dyDescent="0.3">
      <c r="A12" s="148" t="s">
        <v>41</v>
      </c>
      <c r="B12" s="123"/>
      <c r="C12" s="123"/>
      <c r="D12" s="124">
        <v>1746.8905439999999</v>
      </c>
      <c r="E12" s="124">
        <v>1785.9205440000001</v>
      </c>
      <c r="F12" s="124">
        <v>1824.950544</v>
      </c>
      <c r="G12" s="124">
        <v>1863.980544</v>
      </c>
      <c r="H12" s="124">
        <v>1903.010544</v>
      </c>
      <c r="I12" s="124">
        <v>1942.040544</v>
      </c>
    </row>
    <row r="13" spans="1:9" x14ac:dyDescent="0.3">
      <c r="A13" s="148" t="s">
        <v>42</v>
      </c>
      <c r="B13" s="123"/>
      <c r="C13" s="123"/>
      <c r="D13" s="124">
        <v>1339.0087333333331</v>
      </c>
      <c r="E13" s="124">
        <v>1343.7620666666667</v>
      </c>
      <c r="F13" s="124">
        <v>1348.5153999999998</v>
      </c>
      <c r="G13" s="124">
        <v>1353.2687333333333</v>
      </c>
      <c r="H13" s="124">
        <v>1358.0220666666664</v>
      </c>
      <c r="I13" s="124">
        <v>1362.7754</v>
      </c>
    </row>
    <row r="14" spans="1:9" x14ac:dyDescent="0.3">
      <c r="A14" s="148" t="s">
        <v>43</v>
      </c>
      <c r="B14" s="123"/>
      <c r="C14" s="123"/>
      <c r="D14" s="124">
        <v>1108.23</v>
      </c>
      <c r="E14" s="124">
        <v>1108.23</v>
      </c>
      <c r="F14" s="124">
        <v>1108.23</v>
      </c>
      <c r="G14" s="124">
        <v>1108.23</v>
      </c>
      <c r="H14" s="124">
        <v>1108.23</v>
      </c>
      <c r="I14" s="124">
        <v>1108.23</v>
      </c>
    </row>
    <row r="15" spans="1:9" x14ac:dyDescent="0.3">
      <c r="A15" s="148" t="s">
        <v>44</v>
      </c>
      <c r="B15" s="123"/>
      <c r="C15" s="123"/>
      <c r="D15" s="124">
        <v>333.54</v>
      </c>
      <c r="E15" s="124">
        <v>333.54</v>
      </c>
      <c r="F15" s="124">
        <v>333.54</v>
      </c>
      <c r="G15" s="124">
        <v>333.54</v>
      </c>
      <c r="H15" s="124">
        <v>333.54</v>
      </c>
      <c r="I15" s="124">
        <v>333.54</v>
      </c>
    </row>
    <row r="16" spans="1:9" x14ac:dyDescent="0.3">
      <c r="A16" s="148" t="s">
        <v>45</v>
      </c>
      <c r="B16" s="123"/>
      <c r="C16" s="123"/>
      <c r="D16" s="124"/>
      <c r="E16" s="124"/>
      <c r="F16" s="124"/>
      <c r="G16" s="124"/>
      <c r="H16" s="124"/>
      <c r="I16" s="124"/>
    </row>
    <row r="17" spans="1:11" x14ac:dyDescent="0.3">
      <c r="A17" s="148" t="s">
        <v>46</v>
      </c>
      <c r="B17" s="123"/>
      <c r="C17" s="123"/>
      <c r="D17" s="124"/>
      <c r="E17" s="124"/>
      <c r="F17" s="124"/>
      <c r="G17" s="124"/>
      <c r="H17" s="124"/>
      <c r="I17" s="124"/>
    </row>
    <row r="18" spans="1:11" x14ac:dyDescent="0.3">
      <c r="A18" s="148" t="s">
        <v>47</v>
      </c>
      <c r="B18" s="123"/>
      <c r="C18" s="123"/>
      <c r="D18" s="124">
        <v>1361.3899894318547</v>
      </c>
      <c r="E18" s="124">
        <v>1457.2943002864067</v>
      </c>
      <c r="F18" s="124">
        <v>1542.2458339333805</v>
      </c>
      <c r="G18" s="124">
        <v>1643.6265333917218</v>
      </c>
      <c r="H18" s="124">
        <v>1728.5780670386953</v>
      </c>
      <c r="I18" s="124">
        <v>1829.9587664970365</v>
      </c>
    </row>
    <row r="19" spans="1:11" x14ac:dyDescent="0.3">
      <c r="A19" s="148" t="s">
        <v>48</v>
      </c>
      <c r="B19" s="123"/>
      <c r="C19" s="123"/>
      <c r="D19" s="124"/>
      <c r="E19" s="124"/>
      <c r="F19" s="124"/>
      <c r="G19" s="124"/>
      <c r="H19" s="124"/>
      <c r="I19" s="124"/>
    </row>
    <row r="20" spans="1:11" x14ac:dyDescent="0.3">
      <c r="A20" s="148" t="s">
        <v>49</v>
      </c>
      <c r="B20" s="123"/>
      <c r="C20" s="123"/>
      <c r="D20" s="124">
        <v>476.61687500000005</v>
      </c>
      <c r="E20" s="124">
        <v>544.70500000000004</v>
      </c>
      <c r="F20" s="124">
        <v>612.79312500000003</v>
      </c>
      <c r="G20" s="124">
        <v>680.88125000000002</v>
      </c>
      <c r="H20" s="124">
        <v>748.96937500000013</v>
      </c>
      <c r="I20" s="124">
        <v>817.05750000000012</v>
      </c>
    </row>
    <row r="21" spans="1:11" x14ac:dyDescent="0.3">
      <c r="A21" s="148" t="s">
        <v>50</v>
      </c>
      <c r="B21" s="123"/>
      <c r="C21" s="123"/>
      <c r="D21" s="124">
        <v>200</v>
      </c>
      <c r="E21" s="124">
        <v>200</v>
      </c>
      <c r="F21" s="124">
        <v>200</v>
      </c>
      <c r="G21" s="124">
        <v>200</v>
      </c>
      <c r="H21" s="124">
        <v>200</v>
      </c>
      <c r="I21" s="124">
        <v>200</v>
      </c>
    </row>
    <row r="22" spans="1:11" x14ac:dyDescent="0.3">
      <c r="A22" s="148" t="s">
        <v>51</v>
      </c>
      <c r="B22" s="123"/>
      <c r="C22" s="123"/>
      <c r="D22" s="124">
        <v>300</v>
      </c>
      <c r="E22" s="124">
        <v>300</v>
      </c>
      <c r="F22" s="124">
        <v>300</v>
      </c>
      <c r="G22" s="124">
        <v>300</v>
      </c>
      <c r="H22" s="124">
        <v>300</v>
      </c>
      <c r="I22" s="124">
        <v>300</v>
      </c>
    </row>
    <row r="23" spans="1:11" x14ac:dyDescent="0.3">
      <c r="A23" s="148" t="s">
        <v>52</v>
      </c>
      <c r="B23" s="123"/>
      <c r="C23" s="123"/>
      <c r="D23" s="124"/>
      <c r="E23" s="124"/>
      <c r="F23" s="124"/>
      <c r="G23" s="124"/>
      <c r="H23" s="124"/>
      <c r="I23" s="124"/>
    </row>
    <row r="24" spans="1:11" x14ac:dyDescent="0.3">
      <c r="A24" s="148" t="s">
        <v>53</v>
      </c>
      <c r="B24" s="123"/>
      <c r="C24" s="123"/>
      <c r="D24" s="124"/>
      <c r="E24" s="124"/>
      <c r="F24" s="124"/>
      <c r="G24" s="124"/>
      <c r="H24" s="124"/>
      <c r="I24" s="124"/>
    </row>
    <row r="25" spans="1:11" ht="15" thickBot="1" x14ac:dyDescent="0.35">
      <c r="A25" s="148" t="s">
        <v>54</v>
      </c>
      <c r="B25" s="123"/>
      <c r="C25" s="123"/>
      <c r="D25" s="124">
        <v>1276.4944108290888</v>
      </c>
      <c r="E25" s="124">
        <v>1366.4181782510461</v>
      </c>
      <c r="F25" s="124">
        <v>1446.0721780112297</v>
      </c>
      <c r="G25" s="124">
        <v>1541.1308292640736</v>
      </c>
      <c r="H25" s="124">
        <v>1620.7848290242575</v>
      </c>
      <c r="I25" s="124">
        <v>1715.8434802771017</v>
      </c>
    </row>
    <row r="26" spans="1:11" ht="15" thickBot="1" x14ac:dyDescent="0.35">
      <c r="A26" s="296" t="s">
        <v>55</v>
      </c>
      <c r="B26" s="302"/>
      <c r="C26" s="303"/>
      <c r="D26" s="125">
        <f>SUM(D9:D25)</f>
        <v>15113.832197594278</v>
      </c>
      <c r="E26" s="125">
        <f t="shared" ref="E26:I26" si="0">SUM(E9:E25)</f>
        <v>16178.539351704119</v>
      </c>
      <c r="F26" s="125">
        <f t="shared" si="0"/>
        <v>17121.651343444613</v>
      </c>
      <c r="G26" s="125">
        <f t="shared" si="0"/>
        <v>18247.156078739128</v>
      </c>
      <c r="H26" s="125">
        <f t="shared" si="0"/>
        <v>19190.268070479622</v>
      </c>
      <c r="I26" s="125">
        <f t="shared" si="0"/>
        <v>20315.772805774137</v>
      </c>
    </row>
    <row r="27" spans="1:11" ht="15" thickBot="1" x14ac:dyDescent="0.35">
      <c r="A27" s="126"/>
      <c r="B27" s="127"/>
      <c r="C27" s="127"/>
      <c r="D27" s="128"/>
      <c r="E27" s="128"/>
      <c r="F27" s="128"/>
      <c r="G27" s="128"/>
      <c r="H27" s="128"/>
      <c r="I27" s="128"/>
    </row>
    <row r="28" spans="1:11" ht="15" thickBot="1" x14ac:dyDescent="0.35">
      <c r="A28" s="309" t="s">
        <v>56</v>
      </c>
      <c r="B28" s="310"/>
      <c r="C28" s="311"/>
      <c r="D28" s="129">
        <v>7499.1823569000007</v>
      </c>
      <c r="E28" s="125">
        <v>7499.1823569000007</v>
      </c>
      <c r="F28" s="125">
        <v>7499.1823569000007</v>
      </c>
      <c r="G28" s="125">
        <v>7499.1823569000007</v>
      </c>
      <c r="H28" s="125">
        <v>7499.1823569000007</v>
      </c>
      <c r="I28" s="125">
        <v>7499.1823569000007</v>
      </c>
    </row>
    <row r="29" spans="1:11" ht="15" thickBot="1" x14ac:dyDescent="0.35">
      <c r="A29" s="126"/>
      <c r="B29" s="127"/>
      <c r="C29" s="127"/>
      <c r="D29" s="128"/>
      <c r="E29" s="128"/>
      <c r="F29" s="128"/>
      <c r="G29" s="128"/>
      <c r="H29" s="128"/>
      <c r="I29" s="128"/>
    </row>
    <row r="30" spans="1:11" ht="15" thickBot="1" x14ac:dyDescent="0.35">
      <c r="A30" s="296" t="s">
        <v>57</v>
      </c>
      <c r="B30" s="302"/>
      <c r="C30" s="303"/>
      <c r="D30" s="125">
        <f>D26+D28</f>
        <v>22613.014554494279</v>
      </c>
      <c r="E30" s="125">
        <f t="shared" ref="E30:I30" si="1">E26+E28</f>
        <v>23677.72170860412</v>
      </c>
      <c r="F30" s="125">
        <f t="shared" si="1"/>
        <v>24620.833700344614</v>
      </c>
      <c r="G30" s="125">
        <f t="shared" si="1"/>
        <v>25746.338435639129</v>
      </c>
      <c r="H30" s="125">
        <f t="shared" si="1"/>
        <v>26689.450427379623</v>
      </c>
      <c r="I30" s="125">
        <f t="shared" si="1"/>
        <v>27814.955162674138</v>
      </c>
    </row>
    <row r="31" spans="1:11" ht="15" thickBot="1" x14ac:dyDescent="0.35">
      <c r="A31" s="130"/>
      <c r="B31" s="131"/>
      <c r="C31" s="131"/>
      <c r="D31" s="132"/>
      <c r="E31" s="132"/>
      <c r="F31" s="132"/>
      <c r="G31" s="132"/>
      <c r="H31" s="132"/>
      <c r="I31" s="132"/>
    </row>
    <row r="32" spans="1:11" ht="15" thickBot="1" x14ac:dyDescent="0.35">
      <c r="A32" s="296" t="s">
        <v>58</v>
      </c>
      <c r="B32" s="297"/>
      <c r="C32" s="298"/>
      <c r="D32" s="125">
        <f>D30/D5</f>
        <v>6460.8613012840797</v>
      </c>
      <c r="E32" s="125">
        <f t="shared" ref="E32:I32" si="2">E30/E5</f>
        <v>5919.43042715103</v>
      </c>
      <c r="F32" s="125">
        <f t="shared" si="2"/>
        <v>5471.296377854359</v>
      </c>
      <c r="G32" s="125">
        <f t="shared" si="2"/>
        <v>5149.2676871278254</v>
      </c>
      <c r="H32" s="125">
        <f t="shared" si="2"/>
        <v>4852.6273504326591</v>
      </c>
      <c r="I32" s="125">
        <f t="shared" si="2"/>
        <v>4635.8258604456896</v>
      </c>
      <c r="K32" s="133"/>
    </row>
    <row r="33" spans="1:10" ht="15" thickBot="1" x14ac:dyDescent="0.35">
      <c r="A33" s="117"/>
      <c r="B33" s="118"/>
      <c r="C33" s="118"/>
      <c r="D33" s="132"/>
      <c r="E33" s="132"/>
      <c r="F33" s="132"/>
      <c r="G33" s="132"/>
      <c r="H33" s="132"/>
      <c r="I33" s="132"/>
    </row>
    <row r="34" spans="1:10" ht="15" thickBot="1" x14ac:dyDescent="0.35">
      <c r="A34" s="134" t="s">
        <v>59</v>
      </c>
      <c r="B34" s="114"/>
      <c r="C34" s="114"/>
      <c r="D34" s="125">
        <f>'Pryse + Sensatiwiteitsanalise'!$D$4</f>
        <v>406.25</v>
      </c>
      <c r="E34" s="125">
        <f>'Pryse + Sensatiwiteitsanalise'!$D$4</f>
        <v>406.25</v>
      </c>
      <c r="F34" s="125">
        <f>'Pryse + Sensatiwiteitsanalise'!$D$4</f>
        <v>406.25</v>
      </c>
      <c r="G34" s="125">
        <f>'Pryse + Sensatiwiteitsanalise'!$D$4</f>
        <v>406.25</v>
      </c>
      <c r="H34" s="125">
        <f>'Pryse + Sensatiwiteitsanalise'!$D$4</f>
        <v>406.25</v>
      </c>
      <c r="I34" s="125">
        <f>'Pryse + Sensatiwiteitsanalise'!$D$4</f>
        <v>406.25</v>
      </c>
    </row>
    <row r="35" spans="1:10" ht="15" thickBot="1" x14ac:dyDescent="0.35">
      <c r="A35" s="117"/>
      <c r="B35" s="118"/>
      <c r="C35" s="118"/>
      <c r="D35" s="132"/>
      <c r="E35" s="132"/>
      <c r="F35" s="132"/>
      <c r="G35" s="132"/>
      <c r="H35" s="132"/>
      <c r="I35" s="132"/>
    </row>
    <row r="36" spans="1:10" ht="15" thickBot="1" x14ac:dyDescent="0.35">
      <c r="A36" s="299" t="s">
        <v>60</v>
      </c>
      <c r="B36" s="300"/>
      <c r="C36" s="301"/>
      <c r="D36" s="135">
        <f>D32+D34</f>
        <v>6867.1113012840797</v>
      </c>
      <c r="E36" s="135">
        <f t="shared" ref="E36:I36" si="3">E32+E34</f>
        <v>6325.68042715103</v>
      </c>
      <c r="F36" s="135">
        <f t="shared" si="3"/>
        <v>5877.546377854359</v>
      </c>
      <c r="G36" s="135">
        <f t="shared" si="3"/>
        <v>5555.5176871278254</v>
      </c>
      <c r="H36" s="135">
        <f t="shared" si="3"/>
        <v>5258.8773504326591</v>
      </c>
      <c r="I36" s="135">
        <f t="shared" si="3"/>
        <v>5042.0758604456896</v>
      </c>
    </row>
    <row r="37" spans="1:10" ht="15" thickBot="1" x14ac:dyDescent="0.35">
      <c r="A37" s="136" t="s">
        <v>61</v>
      </c>
      <c r="B37" s="137"/>
      <c r="C37" s="138"/>
      <c r="D37" s="135">
        <f>'Pryse + Sensatiwiteitsanalise'!B4</f>
        <v>4312</v>
      </c>
      <c r="E37" s="135">
        <f>$D$37</f>
        <v>4312</v>
      </c>
      <c r="F37" s="135">
        <f>$D$37</f>
        <v>4312</v>
      </c>
      <c r="G37" s="135">
        <f>$D$37</f>
        <v>4312</v>
      </c>
      <c r="H37" s="135">
        <f>$D$37</f>
        <v>4312</v>
      </c>
      <c r="I37" s="135">
        <f>$D$37</f>
        <v>4312</v>
      </c>
    </row>
    <row r="38" spans="1:10" ht="15" thickBot="1" x14ac:dyDescent="0.35">
      <c r="D38" s="139"/>
      <c r="E38" s="139"/>
      <c r="F38" s="139"/>
      <c r="G38" s="139"/>
      <c r="H38" s="139"/>
      <c r="I38" s="139"/>
    </row>
    <row r="39" spans="1:10" s="133" customFormat="1" x14ac:dyDescent="0.3">
      <c r="A39" s="280" t="s">
        <v>62</v>
      </c>
      <c r="B39" s="281"/>
      <c r="C39" s="281"/>
      <c r="D39" s="85">
        <f t="shared" ref="D39:I39" si="4">D6-D26</f>
        <v>-1496.2071975942781</v>
      </c>
      <c r="E39" s="86">
        <f t="shared" si="4"/>
        <v>-615.53935170411933</v>
      </c>
      <c r="F39" s="85">
        <f t="shared" si="4"/>
        <v>386.7236565553867</v>
      </c>
      <c r="G39" s="86">
        <f t="shared" si="4"/>
        <v>1206.5939212608719</v>
      </c>
      <c r="H39" s="85">
        <f t="shared" si="4"/>
        <v>2208.8569295203779</v>
      </c>
      <c r="I39" s="87">
        <f t="shared" si="4"/>
        <v>3028.7271942258631</v>
      </c>
    </row>
    <row r="40" spans="1:10" s="133" customFormat="1" ht="15" thickBot="1" x14ac:dyDescent="0.35">
      <c r="A40" s="282" t="s">
        <v>63</v>
      </c>
      <c r="B40" s="283"/>
      <c r="C40" s="283"/>
      <c r="D40" s="88">
        <f t="shared" ref="D40:I40" si="5">D6-D30</f>
        <v>-8995.3895544942789</v>
      </c>
      <c r="E40" s="89">
        <f t="shared" si="5"/>
        <v>-8114.7217086041201</v>
      </c>
      <c r="F40" s="88">
        <f t="shared" si="5"/>
        <v>-7112.458700344614</v>
      </c>
      <c r="G40" s="89">
        <f t="shared" si="5"/>
        <v>-6292.5884356391289</v>
      </c>
      <c r="H40" s="88">
        <f t="shared" si="5"/>
        <v>-5290.3254273796229</v>
      </c>
      <c r="I40" s="90">
        <f t="shared" si="5"/>
        <v>-4470.4551626741377</v>
      </c>
    </row>
    <row r="41" spans="1:10" x14ac:dyDescent="0.3">
      <c r="A41" s="91" t="s">
        <v>131</v>
      </c>
      <c r="B41" s="140"/>
      <c r="C41" s="140"/>
      <c r="D41" s="140"/>
      <c r="E41" s="140"/>
      <c r="F41" s="140"/>
      <c r="G41" s="140"/>
      <c r="H41" s="140"/>
      <c r="I41" s="141"/>
      <c r="J41" s="142"/>
    </row>
    <row r="42" spans="1:10" x14ac:dyDescent="0.3">
      <c r="A42" s="92" t="s">
        <v>64</v>
      </c>
      <c r="B42" s="143"/>
      <c r="C42" s="143"/>
      <c r="D42" s="143"/>
      <c r="E42" s="143"/>
      <c r="F42" s="143"/>
      <c r="G42" s="143"/>
      <c r="H42" s="143"/>
      <c r="I42" s="144"/>
      <c r="J42" s="142"/>
    </row>
    <row r="43" spans="1:10" ht="15" thickBot="1" x14ac:dyDescent="0.35">
      <c r="A43" s="93" t="s">
        <v>65</v>
      </c>
      <c r="B43" s="145"/>
      <c r="C43" s="145"/>
      <c r="D43" s="145"/>
      <c r="E43" s="145"/>
      <c r="F43" s="145"/>
      <c r="G43" s="145"/>
      <c r="H43" s="145"/>
      <c r="I43" s="146"/>
      <c r="J43" s="142"/>
    </row>
    <row r="44" spans="1:10" x14ac:dyDescent="0.3">
      <c r="A44" s="284" t="s">
        <v>66</v>
      </c>
      <c r="B44" s="285"/>
      <c r="C44" s="285"/>
      <c r="D44" s="285"/>
      <c r="E44" s="285"/>
      <c r="F44" s="285"/>
      <c r="G44" s="285"/>
      <c r="H44" s="285"/>
      <c r="I44" s="286"/>
    </row>
    <row r="45" spans="1:10" x14ac:dyDescent="0.3">
      <c r="A45" s="287"/>
      <c r="B45" s="288"/>
      <c r="C45" s="288"/>
      <c r="D45" s="288"/>
      <c r="E45" s="288"/>
      <c r="F45" s="288"/>
      <c r="G45" s="288"/>
      <c r="H45" s="288"/>
      <c r="I45" s="289"/>
    </row>
    <row r="46" spans="1:10" x14ac:dyDescent="0.3">
      <c r="A46" s="287"/>
      <c r="B46" s="288"/>
      <c r="C46" s="288"/>
      <c r="D46" s="288"/>
      <c r="E46" s="288"/>
      <c r="F46" s="288"/>
      <c r="G46" s="288"/>
      <c r="H46" s="288"/>
      <c r="I46" s="289"/>
    </row>
    <row r="47" spans="1:10" ht="15" thickBot="1" x14ac:dyDescent="0.35">
      <c r="A47" s="290"/>
      <c r="B47" s="291"/>
      <c r="C47" s="291"/>
      <c r="D47" s="291"/>
      <c r="E47" s="291"/>
      <c r="F47" s="291"/>
      <c r="G47" s="291"/>
      <c r="H47" s="291"/>
      <c r="I47" s="292"/>
    </row>
  </sheetData>
  <mergeCells count="12">
    <mergeCell ref="A39:C39"/>
    <mergeCell ref="A40:C40"/>
    <mergeCell ref="A44:I47"/>
    <mergeCell ref="A1:D1"/>
    <mergeCell ref="E1:G1"/>
    <mergeCell ref="A32:C32"/>
    <mergeCell ref="A36:C36"/>
    <mergeCell ref="A30:C30"/>
    <mergeCell ref="A3:C3"/>
    <mergeCell ref="A8:C8"/>
    <mergeCell ref="A26:C26"/>
    <mergeCell ref="A28:C28"/>
  </mergeCells>
  <phoneticPr fontId="0" type="noConversion"/>
  <conditionalFormatting sqref="D39:I40">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59" fitToHeight="0" orientation="portrait" horizontalDpi="300" verticalDpi="300" r:id="rId1"/>
  <headerFooter alignWithMargins="0">
    <oddHeader>&amp;F</oddHeader>
    <oddFooter>&amp;A&amp;RPage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47"/>
  <sheetViews>
    <sheetView zoomScale="70" zoomScaleNormal="70" workbookViewId="0">
      <selection activeCell="O28" sqref="O28"/>
    </sheetView>
  </sheetViews>
  <sheetFormatPr defaultColWidth="9.109375" defaultRowHeight="14.4" x14ac:dyDescent="0.3"/>
  <cols>
    <col min="1" max="1" width="85.6640625" style="96" customWidth="1"/>
    <col min="2" max="2" width="18" style="96" customWidth="1"/>
    <col min="3" max="3" width="16.109375" style="96" customWidth="1"/>
    <col min="4" max="8" width="14.33203125" style="96" customWidth="1"/>
    <col min="9" max="9" width="14.44140625" style="96" customWidth="1"/>
    <col min="10" max="12" width="12.6640625" style="96" hidden="1" customWidth="1"/>
    <col min="13" max="25" width="12.6640625" style="96" customWidth="1"/>
    <col min="26" max="16384" width="9.109375" style="96"/>
  </cols>
  <sheetData>
    <row r="1" spans="1:12" ht="30.75" customHeight="1" thickBot="1" x14ac:dyDescent="0.35">
      <c r="A1" s="149" t="s">
        <v>67</v>
      </c>
      <c r="B1" s="150"/>
      <c r="C1" s="150"/>
      <c r="D1" s="295" t="s">
        <v>68</v>
      </c>
      <c r="E1" s="295"/>
      <c r="F1" s="295"/>
      <c r="G1" s="94"/>
      <c r="H1" s="95"/>
    </row>
    <row r="2" spans="1:12" ht="15" thickBot="1" x14ac:dyDescent="0.35">
      <c r="A2" s="97"/>
      <c r="B2" s="98"/>
      <c r="C2" s="99"/>
      <c r="D2" s="99"/>
      <c r="E2" s="99"/>
      <c r="F2" s="99"/>
      <c r="G2" s="99"/>
      <c r="H2" s="100"/>
    </row>
    <row r="3" spans="1:12" ht="31.2" customHeight="1" thickBot="1" x14ac:dyDescent="0.35">
      <c r="A3" s="304" t="s">
        <v>33</v>
      </c>
      <c r="B3" s="305"/>
      <c r="C3" s="101"/>
      <c r="D3" s="102">
        <f>'Pryse + Sensatiwiteitsanalise'!B19</f>
        <v>3905.75</v>
      </c>
      <c r="E3" s="101" t="s">
        <v>34</v>
      </c>
      <c r="F3" s="103"/>
      <c r="G3" s="103"/>
      <c r="H3" s="104"/>
    </row>
    <row r="4" spans="1:12" ht="15" thickBot="1" x14ac:dyDescent="0.35">
      <c r="A4" s="105"/>
      <c r="B4" s="106"/>
      <c r="C4" s="107"/>
      <c r="D4" s="108"/>
      <c r="E4" s="109"/>
      <c r="F4" s="106"/>
      <c r="G4" s="110"/>
      <c r="H4" s="110"/>
    </row>
    <row r="5" spans="1:12" ht="15" thickBot="1" x14ac:dyDescent="0.35">
      <c r="A5" s="111" t="s">
        <v>35</v>
      </c>
      <c r="B5" s="106"/>
      <c r="C5" s="112">
        <v>3.5</v>
      </c>
      <c r="D5" s="112">
        <v>4</v>
      </c>
      <c r="E5" s="112">
        <v>4.5</v>
      </c>
      <c r="F5" s="112">
        <v>5</v>
      </c>
      <c r="G5" s="112">
        <v>5.5</v>
      </c>
      <c r="H5" s="112">
        <v>6</v>
      </c>
      <c r="J5" s="151"/>
    </row>
    <row r="6" spans="1:12" ht="15" thickBot="1" x14ac:dyDescent="0.35">
      <c r="A6" s="113" t="s">
        <v>36</v>
      </c>
      <c r="B6" s="114"/>
      <c r="C6" s="116">
        <v>14333.418750000001</v>
      </c>
      <c r="D6" s="116">
        <v>16381.050000000001</v>
      </c>
      <c r="E6" s="116">
        <v>18428.681250000001</v>
      </c>
      <c r="F6" s="116">
        <v>20476.3125</v>
      </c>
      <c r="G6" s="116">
        <v>22523.943750000002</v>
      </c>
      <c r="H6" s="116">
        <v>24571.575000000001</v>
      </c>
      <c r="J6" s="152"/>
    </row>
    <row r="7" spans="1:12" ht="15" thickBot="1" x14ac:dyDescent="0.35">
      <c r="A7" s="117"/>
      <c r="B7" s="118"/>
      <c r="C7" s="119"/>
      <c r="D7" s="119"/>
      <c r="E7" s="119"/>
      <c r="F7" s="119"/>
      <c r="G7" s="119"/>
      <c r="H7" s="119"/>
      <c r="J7" s="321" t="s">
        <v>69</v>
      </c>
      <c r="K7" s="321"/>
      <c r="L7" s="321"/>
    </row>
    <row r="8" spans="1:12" ht="15" thickBot="1" x14ac:dyDescent="0.35">
      <c r="A8" s="322" t="s">
        <v>37</v>
      </c>
      <c r="B8" s="323"/>
      <c r="C8" s="120"/>
      <c r="D8" s="120"/>
      <c r="E8" s="120"/>
      <c r="F8" s="120"/>
      <c r="G8" s="120"/>
      <c r="H8" s="120"/>
      <c r="J8" s="153" t="s">
        <v>70</v>
      </c>
      <c r="K8" s="153" t="s">
        <v>71</v>
      </c>
      <c r="L8" s="153" t="s">
        <v>72</v>
      </c>
    </row>
    <row r="9" spans="1:12" x14ac:dyDescent="0.3">
      <c r="A9" s="154" t="str">
        <f>'W-Mielie '!A9</f>
        <v>Saad / Seed</v>
      </c>
      <c r="B9" s="154"/>
      <c r="C9" s="155">
        <v>2122.1183322499996</v>
      </c>
      <c r="D9" s="122">
        <v>2273.6982131249997</v>
      </c>
      <c r="E9" s="122">
        <v>2273.6982131249997</v>
      </c>
      <c r="F9" s="122">
        <v>2501.0680344374996</v>
      </c>
      <c r="G9" s="122">
        <v>2501.0680344374996</v>
      </c>
      <c r="H9" s="122">
        <v>2728.4378557499995</v>
      </c>
      <c r="J9" s="156">
        <f>C5</f>
        <v>3.5</v>
      </c>
      <c r="K9" s="156">
        <f>C26</f>
        <v>16012.663734670854</v>
      </c>
      <c r="L9" s="156">
        <f>C28</f>
        <v>6856.4322200999995</v>
      </c>
    </row>
    <row r="10" spans="1:12" x14ac:dyDescent="0.3">
      <c r="A10" s="154" t="str">
        <f>'W-Mielie '!A10</f>
        <v>Kunsmis / Fertiliser</v>
      </c>
      <c r="B10" s="154"/>
      <c r="C10" s="157">
        <v>4766.4449999999997</v>
      </c>
      <c r="D10" s="124">
        <v>5433.08</v>
      </c>
      <c r="E10" s="124">
        <v>6099.7150000000011</v>
      </c>
      <c r="F10" s="124">
        <v>6766.35</v>
      </c>
      <c r="G10" s="124">
        <v>7432.9850000000006</v>
      </c>
      <c r="H10" s="124">
        <v>8099.62</v>
      </c>
      <c r="J10" s="156">
        <f>D5</f>
        <v>4</v>
      </c>
      <c r="K10" s="156">
        <f>D26</f>
        <v>17143.740990076942</v>
      </c>
      <c r="L10" s="156">
        <f>D28</f>
        <v>6856.4322200999995</v>
      </c>
    </row>
    <row r="11" spans="1:12" x14ac:dyDescent="0.3">
      <c r="A11" s="154" t="str">
        <f>'W-Mielie '!A11</f>
        <v>Kalk / Lime</v>
      </c>
      <c r="B11" s="154"/>
      <c r="C11" s="157">
        <v>800</v>
      </c>
      <c r="D11" s="124">
        <v>800</v>
      </c>
      <c r="E11" s="124">
        <v>800</v>
      </c>
      <c r="F11" s="124">
        <v>800</v>
      </c>
      <c r="G11" s="124">
        <v>800</v>
      </c>
      <c r="H11" s="124">
        <v>800</v>
      </c>
      <c r="J11" s="156">
        <f>E5</f>
        <v>4.5</v>
      </c>
      <c r="K11" s="156">
        <f>E26</f>
        <v>18091.188679113275</v>
      </c>
      <c r="L11" s="156">
        <f>E28</f>
        <v>6856.4322200999995</v>
      </c>
    </row>
    <row r="12" spans="1:12" x14ac:dyDescent="0.3">
      <c r="A12" s="154" t="str">
        <f>'W-Mielie '!A12</f>
        <v>Brandstof / Fuel</v>
      </c>
      <c r="B12" s="154"/>
      <c r="C12" s="157">
        <v>1746.8905439999999</v>
      </c>
      <c r="D12" s="124">
        <v>1785.9205440000001</v>
      </c>
      <c r="E12" s="124">
        <v>1824.950544</v>
      </c>
      <c r="F12" s="124">
        <v>1863.980544</v>
      </c>
      <c r="G12" s="124">
        <v>1903.010544</v>
      </c>
      <c r="H12" s="124">
        <v>1942.040544</v>
      </c>
      <c r="J12" s="156">
        <f>F5</f>
        <v>5</v>
      </c>
      <c r="K12" s="156">
        <f>F26</f>
        <v>19314.080717704241</v>
      </c>
      <c r="L12" s="156">
        <f>F28</f>
        <v>6856.4322200999995</v>
      </c>
    </row>
    <row r="13" spans="1:12" x14ac:dyDescent="0.3">
      <c r="A13" s="154" t="str">
        <f>'W-Mielie '!A13</f>
        <v>Reparasie / Reparation</v>
      </c>
      <c r="B13" s="154"/>
      <c r="C13" s="157">
        <v>1339.0087333333331</v>
      </c>
      <c r="D13" s="124">
        <v>1343.7620666666667</v>
      </c>
      <c r="E13" s="124">
        <v>1348.5153999999998</v>
      </c>
      <c r="F13" s="124">
        <v>1353.2687333333333</v>
      </c>
      <c r="G13" s="124">
        <v>1358.0220666666664</v>
      </c>
      <c r="H13" s="124">
        <v>1362.7754</v>
      </c>
      <c r="J13" s="156">
        <f>G5</f>
        <v>5.5</v>
      </c>
      <c r="K13" s="156">
        <f>G26</f>
        <v>20261.528406740574</v>
      </c>
      <c r="L13" s="156">
        <f>G28</f>
        <v>6856.4322200999995</v>
      </c>
    </row>
    <row r="14" spans="1:12" x14ac:dyDescent="0.3">
      <c r="A14" s="154" t="str">
        <f>'W-Mielie '!A14</f>
        <v>Onkruiddoders / Herbicide</v>
      </c>
      <c r="B14" s="154"/>
      <c r="C14" s="157">
        <v>1108.23</v>
      </c>
      <c r="D14" s="124">
        <v>1108.23</v>
      </c>
      <c r="E14" s="124">
        <v>1108.23</v>
      </c>
      <c r="F14" s="124">
        <v>1108.23</v>
      </c>
      <c r="G14" s="124">
        <v>1108.23</v>
      </c>
      <c r="H14" s="124">
        <v>1108.23</v>
      </c>
      <c r="J14" s="156">
        <f>H5</f>
        <v>6</v>
      </c>
      <c r="K14" s="156">
        <f>H26</f>
        <v>21484.420445331543</v>
      </c>
      <c r="L14" s="156">
        <f>H28</f>
        <v>6856.4322200999995</v>
      </c>
    </row>
    <row r="15" spans="1:12" x14ac:dyDescent="0.3">
      <c r="A15" s="154" t="str">
        <f>'W-Mielie '!A15</f>
        <v>Plaagdoder / Pesticides</v>
      </c>
      <c r="B15" s="154"/>
      <c r="C15" s="157">
        <v>333.54</v>
      </c>
      <c r="D15" s="124">
        <v>333.54</v>
      </c>
      <c r="E15" s="124">
        <v>333.54</v>
      </c>
      <c r="F15" s="124">
        <v>333.54</v>
      </c>
      <c r="G15" s="124">
        <v>333.54</v>
      </c>
      <c r="H15" s="124">
        <v>333.54</v>
      </c>
      <c r="J15" s="158"/>
      <c r="K15" s="159"/>
    </row>
    <row r="16" spans="1:12" x14ac:dyDescent="0.3">
      <c r="A16" s="154" t="str">
        <f>'W-Mielie '!A16</f>
        <v>Insetversekering / Input insurance</v>
      </c>
      <c r="B16" s="154"/>
      <c r="C16" s="157"/>
      <c r="D16" s="124"/>
      <c r="E16" s="124"/>
      <c r="F16" s="124"/>
      <c r="G16" s="124"/>
      <c r="H16" s="124"/>
      <c r="J16" s="158"/>
      <c r="K16" s="159"/>
    </row>
    <row r="17" spans="1:11" x14ac:dyDescent="0.3">
      <c r="A17" s="154" t="str">
        <f>'W-Mielie '!A17</f>
        <v>Besproeiingskoste / Irrigation cost</v>
      </c>
      <c r="B17" s="154"/>
      <c r="C17" s="157"/>
      <c r="D17" s="124"/>
      <c r="E17" s="124"/>
      <c r="F17" s="124"/>
      <c r="G17" s="124"/>
      <c r="H17" s="124"/>
      <c r="J17" s="158"/>
      <c r="K17" s="159"/>
    </row>
    <row r="18" spans="1:11" x14ac:dyDescent="0.3">
      <c r="A18" s="154" t="str">
        <f>'W-Mielie '!A18</f>
        <v>Graanprysverskansing / Grain hedging</v>
      </c>
      <c r="B18" s="154"/>
      <c r="C18" s="157">
        <v>1442.3529272734218</v>
      </c>
      <c r="D18" s="124">
        <v>1544.2355757408968</v>
      </c>
      <c r="E18" s="124">
        <v>1629.5776506363504</v>
      </c>
      <c r="F18" s="124">
        <v>1739.7305858898367</v>
      </c>
      <c r="G18" s="124">
        <v>1825.0726607852898</v>
      </c>
      <c r="H18" s="124">
        <v>1935.2255960387758</v>
      </c>
      <c r="J18" s="158"/>
      <c r="K18" s="159"/>
    </row>
    <row r="19" spans="1:11" x14ac:dyDescent="0.3">
      <c r="A19" s="154" t="str">
        <f>'W-Mielie '!A19</f>
        <v>Kontrakstroop / Contract Harvesting</v>
      </c>
      <c r="B19" s="154"/>
      <c r="C19" s="157"/>
      <c r="D19" s="124"/>
      <c r="E19" s="124"/>
      <c r="F19" s="124"/>
      <c r="G19" s="124"/>
      <c r="H19" s="124"/>
      <c r="J19" s="158"/>
      <c r="K19" s="159"/>
    </row>
    <row r="20" spans="1:11" x14ac:dyDescent="0.3">
      <c r="A20" s="154" t="str">
        <f>'W-Mielie '!A20</f>
        <v>Oesversekering / Harvest insurance</v>
      </c>
      <c r="B20" s="154"/>
      <c r="C20" s="157">
        <v>501.66965625000006</v>
      </c>
      <c r="D20" s="124">
        <v>573.33675000000005</v>
      </c>
      <c r="E20" s="124">
        <v>645.0038437500001</v>
      </c>
      <c r="F20" s="124">
        <v>716.67093750000004</v>
      </c>
      <c r="G20" s="124">
        <v>788.3380312500002</v>
      </c>
      <c r="H20" s="124">
        <v>860.00512500000013</v>
      </c>
      <c r="J20" s="158"/>
      <c r="K20" s="159"/>
    </row>
    <row r="21" spans="1:11" x14ac:dyDescent="0.3">
      <c r="A21" s="154" t="str">
        <f>'W-Mielie '!A21</f>
        <v>Lugspuit / Aerial spray</v>
      </c>
      <c r="B21" s="154"/>
      <c r="C21" s="157">
        <v>200</v>
      </c>
      <c r="D21" s="124">
        <v>200</v>
      </c>
      <c r="E21" s="124">
        <v>200</v>
      </c>
      <c r="F21" s="124">
        <v>200</v>
      </c>
      <c r="G21" s="124">
        <v>200</v>
      </c>
      <c r="H21" s="124">
        <v>200</v>
      </c>
      <c r="J21" s="158"/>
      <c r="K21" s="159"/>
    </row>
    <row r="22" spans="1:11" x14ac:dyDescent="0.3">
      <c r="A22" s="154" t="str">
        <f>'W-Mielie '!A22</f>
        <v>Losarbeid / Casual labour</v>
      </c>
      <c r="B22" s="154"/>
      <c r="C22" s="157">
        <v>300</v>
      </c>
      <c r="D22" s="124">
        <v>300</v>
      </c>
      <c r="E22" s="124">
        <v>300</v>
      </c>
      <c r="F22" s="124">
        <v>300</v>
      </c>
      <c r="G22" s="124">
        <v>300</v>
      </c>
      <c r="H22" s="124">
        <v>300</v>
      </c>
      <c r="J22" s="158"/>
      <c r="K22" s="159"/>
    </row>
    <row r="23" spans="1:11" x14ac:dyDescent="0.3">
      <c r="A23" s="154" t="str">
        <f>'W-Mielie '!A23</f>
        <v>Droogkoste / Drying cost</v>
      </c>
      <c r="B23" s="154"/>
      <c r="C23" s="157"/>
      <c r="D23" s="124"/>
      <c r="E23" s="124"/>
      <c r="F23" s="124"/>
      <c r="G23" s="124"/>
      <c r="H23" s="124"/>
      <c r="J23" s="158"/>
      <c r="K23" s="159"/>
    </row>
    <row r="24" spans="1:11" x14ac:dyDescent="0.3">
      <c r="A24" s="154" t="str">
        <f>'W-Mielie '!A24</f>
        <v>Verpakking en Pakmateriaal / Packaging and packaging material</v>
      </c>
      <c r="B24" s="154"/>
      <c r="C24" s="157"/>
      <c r="D24" s="124"/>
      <c r="E24" s="124"/>
      <c r="F24" s="124"/>
      <c r="G24" s="124"/>
      <c r="H24" s="124"/>
      <c r="J24" s="158"/>
      <c r="K24" s="159"/>
    </row>
    <row r="25" spans="1:11" ht="15" thickBot="1" x14ac:dyDescent="0.35">
      <c r="A25" s="154" t="str">
        <f>'W-Mielie '!A25</f>
        <v>Produksiekrediet rente / Interest on production R/ha</v>
      </c>
      <c r="B25" s="154"/>
      <c r="C25" s="157">
        <v>1352.4085415640984</v>
      </c>
      <c r="D25" s="124">
        <v>1447.9378405443792</v>
      </c>
      <c r="E25" s="124">
        <v>1527.9580276019224</v>
      </c>
      <c r="F25" s="124">
        <v>1631.2418825435718</v>
      </c>
      <c r="G25" s="124">
        <v>1711.2620696011152</v>
      </c>
      <c r="H25" s="124">
        <v>1814.5459245427649</v>
      </c>
      <c r="J25" s="158"/>
      <c r="K25" s="159"/>
    </row>
    <row r="26" spans="1:11" ht="15" thickBot="1" x14ac:dyDescent="0.35">
      <c r="A26" s="324" t="s">
        <v>55</v>
      </c>
      <c r="B26" s="324"/>
      <c r="C26" s="160">
        <f t="shared" ref="C26:H26" si="0">SUM(C9:C25)</f>
        <v>16012.663734670854</v>
      </c>
      <c r="D26" s="125">
        <f t="shared" si="0"/>
        <v>17143.740990076942</v>
      </c>
      <c r="E26" s="125">
        <f t="shared" si="0"/>
        <v>18091.188679113275</v>
      </c>
      <c r="F26" s="125">
        <f t="shared" si="0"/>
        <v>19314.080717704241</v>
      </c>
      <c r="G26" s="125">
        <f t="shared" si="0"/>
        <v>20261.528406740574</v>
      </c>
      <c r="H26" s="125">
        <f t="shared" si="0"/>
        <v>21484.420445331543</v>
      </c>
      <c r="J26" s="158"/>
      <c r="K26" s="159"/>
    </row>
    <row r="27" spans="1:11" ht="15" thickBot="1" x14ac:dyDescent="0.35">
      <c r="A27" s="126"/>
      <c r="B27" s="127"/>
      <c r="C27" s="128"/>
      <c r="D27" s="128"/>
      <c r="E27" s="128"/>
      <c r="F27" s="128"/>
      <c r="G27" s="128"/>
      <c r="H27" s="128"/>
    </row>
    <row r="28" spans="1:11" ht="15" thickBot="1" x14ac:dyDescent="0.35">
      <c r="A28" s="309" t="s">
        <v>56</v>
      </c>
      <c r="B28" s="310"/>
      <c r="C28" s="129">
        <v>6856.4322200999995</v>
      </c>
      <c r="D28" s="125">
        <v>6856.4322200999995</v>
      </c>
      <c r="E28" s="125">
        <v>6856.4322200999995</v>
      </c>
      <c r="F28" s="125">
        <v>6856.4322200999995</v>
      </c>
      <c r="G28" s="125">
        <v>6856.4322200999995</v>
      </c>
      <c r="H28" s="125">
        <v>6856.4322200999995</v>
      </c>
    </row>
    <row r="29" spans="1:11" ht="15" thickBot="1" x14ac:dyDescent="0.35">
      <c r="A29" s="126"/>
      <c r="B29" s="127"/>
      <c r="C29" s="128"/>
      <c r="D29" s="128"/>
      <c r="E29" s="128"/>
      <c r="F29" s="128"/>
      <c r="G29" s="128"/>
      <c r="H29" s="128"/>
    </row>
    <row r="30" spans="1:11" ht="15" thickBot="1" x14ac:dyDescent="0.35">
      <c r="A30" s="296" t="s">
        <v>57</v>
      </c>
      <c r="B30" s="302"/>
      <c r="C30" s="125">
        <f>C26+C28</f>
        <v>22869.095954770855</v>
      </c>
      <c r="D30" s="125">
        <f t="shared" ref="D30:H30" si="1">D26+D28</f>
        <v>24000.173210176941</v>
      </c>
      <c r="E30" s="125">
        <f t="shared" si="1"/>
        <v>24947.620899213274</v>
      </c>
      <c r="F30" s="125">
        <f t="shared" si="1"/>
        <v>26170.51293780424</v>
      </c>
      <c r="G30" s="125">
        <f t="shared" si="1"/>
        <v>27117.960626840573</v>
      </c>
      <c r="H30" s="125">
        <f t="shared" si="1"/>
        <v>28340.852665431543</v>
      </c>
    </row>
    <row r="31" spans="1:11" ht="15" thickBot="1" x14ac:dyDescent="0.35">
      <c r="A31" s="130"/>
      <c r="B31" s="131"/>
      <c r="C31" s="132"/>
      <c r="D31" s="132"/>
      <c r="E31" s="132"/>
      <c r="F31" s="132"/>
      <c r="G31" s="132"/>
      <c r="H31" s="132"/>
    </row>
    <row r="32" spans="1:11" ht="15" thickBot="1" x14ac:dyDescent="0.35">
      <c r="A32" s="296" t="s">
        <v>58</v>
      </c>
      <c r="B32" s="297"/>
      <c r="C32" s="125">
        <f t="shared" ref="C32:H32" si="2">C30/C5</f>
        <v>6534.0274156488158</v>
      </c>
      <c r="D32" s="125">
        <f t="shared" si="2"/>
        <v>6000.0433025442353</v>
      </c>
      <c r="E32" s="125">
        <f t="shared" si="2"/>
        <v>5543.9157553807272</v>
      </c>
      <c r="F32" s="125">
        <f t="shared" si="2"/>
        <v>5234.1025875608484</v>
      </c>
      <c r="G32" s="125">
        <f t="shared" si="2"/>
        <v>4930.5382957891952</v>
      </c>
      <c r="H32" s="125">
        <f t="shared" si="2"/>
        <v>4723.4754442385902</v>
      </c>
    </row>
    <row r="33" spans="1:9" ht="15" thickBot="1" x14ac:dyDescent="0.35">
      <c r="A33" s="117"/>
      <c r="B33" s="118"/>
      <c r="C33" s="132"/>
      <c r="D33" s="132"/>
      <c r="E33" s="132"/>
      <c r="F33" s="132"/>
      <c r="G33" s="132"/>
      <c r="H33" s="132"/>
    </row>
    <row r="34" spans="1:9" ht="15" thickBot="1" x14ac:dyDescent="0.35">
      <c r="A34" s="134" t="s">
        <v>59</v>
      </c>
      <c r="B34" s="114"/>
      <c r="C34" s="125">
        <f>'Pryse + Sensatiwiteitsanalise'!$D$4</f>
        <v>406.25</v>
      </c>
      <c r="D34" s="125">
        <f>'Pryse + Sensatiwiteitsanalise'!$D$4</f>
        <v>406.25</v>
      </c>
      <c r="E34" s="125">
        <f>'Pryse + Sensatiwiteitsanalise'!$D$4</f>
        <v>406.25</v>
      </c>
      <c r="F34" s="125">
        <f>'Pryse + Sensatiwiteitsanalise'!$D$4</f>
        <v>406.25</v>
      </c>
      <c r="G34" s="125">
        <f>'Pryse + Sensatiwiteitsanalise'!$D$4</f>
        <v>406.25</v>
      </c>
      <c r="H34" s="125">
        <f>'Pryse + Sensatiwiteitsanalise'!$D$4</f>
        <v>406.25</v>
      </c>
    </row>
    <row r="35" spans="1:9" ht="15" thickBot="1" x14ac:dyDescent="0.35">
      <c r="A35" s="117"/>
      <c r="B35" s="118"/>
      <c r="C35" s="132"/>
      <c r="D35" s="132"/>
      <c r="E35" s="132"/>
      <c r="F35" s="132"/>
      <c r="G35" s="132"/>
      <c r="H35" s="132"/>
    </row>
    <row r="36" spans="1:9" ht="15" thickBot="1" x14ac:dyDescent="0.35">
      <c r="A36" s="299" t="s">
        <v>60</v>
      </c>
      <c r="B36" s="300"/>
      <c r="C36" s="135">
        <f>C32+C34</f>
        <v>6940.2774156488158</v>
      </c>
      <c r="D36" s="135">
        <f t="shared" ref="D36:H36" si="3">D32+D34</f>
        <v>6406.2933025442353</v>
      </c>
      <c r="E36" s="135">
        <f t="shared" si="3"/>
        <v>5950.1657553807272</v>
      </c>
      <c r="F36" s="135">
        <f t="shared" si="3"/>
        <v>5640.3525875608484</v>
      </c>
      <c r="G36" s="135">
        <f t="shared" si="3"/>
        <v>5336.7882957891952</v>
      </c>
      <c r="H36" s="135">
        <f t="shared" si="3"/>
        <v>5129.7254442385902</v>
      </c>
    </row>
    <row r="37" spans="1:9" ht="15" thickBot="1" x14ac:dyDescent="0.35">
      <c r="A37" s="136" t="s">
        <v>61</v>
      </c>
      <c r="B37" s="137"/>
      <c r="C37" s="135">
        <f>'Pryse + Sensatiwiteitsanalise'!B4</f>
        <v>4312</v>
      </c>
      <c r="D37" s="135">
        <f>$C$37</f>
        <v>4312</v>
      </c>
      <c r="E37" s="135">
        <f>$C$37</f>
        <v>4312</v>
      </c>
      <c r="F37" s="135">
        <f>$C$37</f>
        <v>4312</v>
      </c>
      <c r="G37" s="135">
        <f>$C$37</f>
        <v>4312</v>
      </c>
      <c r="H37" s="135">
        <f>$C$37</f>
        <v>4312</v>
      </c>
    </row>
    <row r="38" spans="1:9" ht="15" thickBot="1" x14ac:dyDescent="0.35">
      <c r="A38" s="161"/>
      <c r="B38" s="161"/>
      <c r="C38" s="162"/>
      <c r="D38" s="162"/>
      <c r="E38" s="162"/>
      <c r="F38" s="162"/>
      <c r="G38" s="162"/>
      <c r="H38" s="162"/>
    </row>
    <row r="39" spans="1:9" s="133" customFormat="1" x14ac:dyDescent="0.3">
      <c r="A39" s="280" t="s">
        <v>62</v>
      </c>
      <c r="B39" s="281"/>
      <c r="C39" s="85">
        <f t="shared" ref="C39:H39" si="4">C6-C26</f>
        <v>-1679.2449846708532</v>
      </c>
      <c r="D39" s="86">
        <f t="shared" si="4"/>
        <v>-762.69099007694058</v>
      </c>
      <c r="E39" s="85">
        <f t="shared" si="4"/>
        <v>337.49257088672675</v>
      </c>
      <c r="F39" s="86">
        <f t="shared" si="4"/>
        <v>1162.2317822957593</v>
      </c>
      <c r="G39" s="85">
        <f t="shared" si="4"/>
        <v>2262.4153432594285</v>
      </c>
      <c r="H39" s="87">
        <f t="shared" si="4"/>
        <v>3087.1545546684574</v>
      </c>
    </row>
    <row r="40" spans="1:9" s="133" customFormat="1" ht="15" thickBot="1" x14ac:dyDescent="0.35">
      <c r="A40" s="282" t="s">
        <v>63</v>
      </c>
      <c r="B40" s="283"/>
      <c r="C40" s="88">
        <f t="shared" ref="C40:H40" si="5">C6-C30</f>
        <v>-8535.6772047708546</v>
      </c>
      <c r="D40" s="89">
        <f t="shared" si="5"/>
        <v>-7619.1232101769401</v>
      </c>
      <c r="E40" s="88">
        <f t="shared" si="5"/>
        <v>-6518.9396492132728</v>
      </c>
      <c r="F40" s="89">
        <f t="shared" si="5"/>
        <v>-5694.2004378042402</v>
      </c>
      <c r="G40" s="88">
        <f t="shared" si="5"/>
        <v>-4594.0168768405711</v>
      </c>
      <c r="H40" s="90">
        <f t="shared" si="5"/>
        <v>-3769.2776654315421</v>
      </c>
    </row>
    <row r="41" spans="1:9" x14ac:dyDescent="0.3">
      <c r="A41" s="163" t="s">
        <v>131</v>
      </c>
      <c r="B41" s="164"/>
      <c r="C41" s="164"/>
      <c r="D41" s="164"/>
      <c r="E41" s="164"/>
      <c r="F41" s="164"/>
      <c r="G41" s="164"/>
      <c r="H41" s="141"/>
      <c r="I41" s="142"/>
    </row>
    <row r="42" spans="1:9" ht="13.2" customHeight="1" x14ac:dyDescent="0.3">
      <c r="A42" s="165" t="s">
        <v>64</v>
      </c>
      <c r="B42" s="166"/>
      <c r="C42" s="166"/>
      <c r="D42" s="166"/>
      <c r="E42" s="166"/>
      <c r="F42" s="166"/>
      <c r="G42" s="166"/>
      <c r="H42" s="144"/>
      <c r="I42" s="142"/>
    </row>
    <row r="43" spans="1:9" ht="13.95" customHeight="1" thickBot="1" x14ac:dyDescent="0.35">
      <c r="A43" s="167" t="s">
        <v>65</v>
      </c>
      <c r="B43" s="168"/>
      <c r="C43" s="168"/>
      <c r="D43" s="168"/>
      <c r="E43" s="168"/>
      <c r="F43" s="168"/>
      <c r="G43" s="168"/>
      <c r="H43" s="146"/>
      <c r="I43" s="142"/>
    </row>
    <row r="44" spans="1:9" x14ac:dyDescent="0.3">
      <c r="A44" s="312" t="s">
        <v>66</v>
      </c>
      <c r="B44" s="313"/>
      <c r="C44" s="313"/>
      <c r="D44" s="313"/>
      <c r="E44" s="313"/>
      <c r="F44" s="313"/>
      <c r="G44" s="313"/>
      <c r="H44" s="314"/>
    </row>
    <row r="45" spans="1:9" x14ac:dyDescent="0.3">
      <c r="A45" s="315"/>
      <c r="B45" s="316"/>
      <c r="C45" s="316"/>
      <c r="D45" s="316"/>
      <c r="E45" s="316"/>
      <c r="F45" s="316"/>
      <c r="G45" s="316"/>
      <c r="H45" s="317"/>
    </row>
    <row r="46" spans="1:9" x14ac:dyDescent="0.3">
      <c r="A46" s="315"/>
      <c r="B46" s="316"/>
      <c r="C46" s="316"/>
      <c r="D46" s="316"/>
      <c r="E46" s="316"/>
      <c r="F46" s="316"/>
      <c r="G46" s="316"/>
      <c r="H46" s="317"/>
    </row>
    <row r="47" spans="1:9" ht="15" thickBot="1" x14ac:dyDescent="0.35">
      <c r="A47" s="318"/>
      <c r="B47" s="319"/>
      <c r="C47" s="319"/>
      <c r="D47" s="319"/>
      <c r="E47" s="319"/>
      <c r="F47" s="319"/>
      <c r="G47" s="319"/>
      <c r="H47" s="320"/>
    </row>
  </sheetData>
  <mergeCells count="12">
    <mergeCell ref="A44:H47"/>
    <mergeCell ref="J7:L7"/>
    <mergeCell ref="A39:B39"/>
    <mergeCell ref="A40:B40"/>
    <mergeCell ref="D1:F1"/>
    <mergeCell ref="A32:B32"/>
    <mergeCell ref="A36:B36"/>
    <mergeCell ref="A30:B30"/>
    <mergeCell ref="A3:B3"/>
    <mergeCell ref="A8:B8"/>
    <mergeCell ref="A26:B26"/>
    <mergeCell ref="A28:B28"/>
  </mergeCells>
  <phoneticPr fontId="0" type="noConversion"/>
  <conditionalFormatting sqref="C39:H40">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59" fitToHeight="0" orientation="portrait" horizontalDpi="300" verticalDpi="300" r:id="rId1"/>
  <headerFooter alignWithMargins="0">
    <oddHeader>&amp;F</oddHeader>
    <oddFooter>&amp;A&amp;RPage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7"/>
  <sheetViews>
    <sheetView topLeftCell="A7" zoomScale="70" zoomScaleNormal="70" workbookViewId="0">
      <selection activeCell="H29" sqref="H29"/>
    </sheetView>
  </sheetViews>
  <sheetFormatPr defaultColWidth="9.109375" defaultRowHeight="14.4" x14ac:dyDescent="0.3"/>
  <cols>
    <col min="1" max="1" width="82.6640625" style="96" customWidth="1"/>
    <col min="2" max="2" width="15.6640625" style="96" customWidth="1"/>
    <col min="3" max="3" width="14.5546875" style="96" customWidth="1"/>
    <col min="4" max="4" width="14.33203125" style="96" customWidth="1"/>
    <col min="5" max="5" width="21" style="96" customWidth="1"/>
    <col min="6" max="6" width="14.44140625" style="96" customWidth="1"/>
    <col min="7" max="22" width="12.6640625" style="96" customWidth="1"/>
    <col min="23" max="23" width="9.109375" style="96" customWidth="1"/>
    <col min="24" max="16384" width="9.109375" style="96"/>
  </cols>
  <sheetData>
    <row r="1" spans="1:5" ht="30" customHeight="1" thickBot="1" x14ac:dyDescent="0.35">
      <c r="A1" s="169" t="s">
        <v>73</v>
      </c>
      <c r="B1" s="170"/>
      <c r="C1" s="170"/>
      <c r="D1" s="325" t="s">
        <v>74</v>
      </c>
      <c r="E1" s="325"/>
    </row>
    <row r="2" spans="1:5" ht="15" thickBot="1" x14ac:dyDescent="0.35">
      <c r="A2" s="97"/>
      <c r="B2" s="98"/>
      <c r="C2" s="99"/>
      <c r="D2" s="99"/>
      <c r="E2" s="99"/>
    </row>
    <row r="3" spans="1:5" ht="36" customHeight="1" thickBot="1" x14ac:dyDescent="0.35">
      <c r="A3" s="296" t="s">
        <v>33</v>
      </c>
      <c r="B3" s="297"/>
      <c r="C3" s="101"/>
      <c r="D3" s="102">
        <f>'Pryse + Sensatiwiteitsanalise'!B19</f>
        <v>3905.75</v>
      </c>
      <c r="E3" s="101" t="s">
        <v>34</v>
      </c>
    </row>
    <row r="4" spans="1:5" ht="15" thickBot="1" x14ac:dyDescent="0.35">
      <c r="A4" s="111"/>
      <c r="B4" s="171"/>
      <c r="C4" s="107"/>
      <c r="D4" s="108"/>
      <c r="E4" s="109"/>
    </row>
    <row r="5" spans="1:5" ht="15" thickBot="1" x14ac:dyDescent="0.35">
      <c r="A5" s="111" t="s">
        <v>35</v>
      </c>
      <c r="B5" s="171"/>
      <c r="C5" s="172">
        <v>8</v>
      </c>
      <c r="D5" s="172">
        <v>10</v>
      </c>
      <c r="E5" s="172">
        <v>12</v>
      </c>
    </row>
    <row r="6" spans="1:5" ht="15" thickBot="1" x14ac:dyDescent="0.35">
      <c r="A6" s="113" t="s">
        <v>36</v>
      </c>
      <c r="B6" s="173"/>
      <c r="C6" s="116">
        <v>31126</v>
      </c>
      <c r="D6" s="116">
        <v>38907.5</v>
      </c>
      <c r="E6" s="116">
        <v>46689</v>
      </c>
    </row>
    <row r="7" spans="1:5" ht="15" thickBot="1" x14ac:dyDescent="0.35">
      <c r="A7" s="130"/>
      <c r="B7" s="131"/>
      <c r="C7" s="119"/>
      <c r="D7" s="119"/>
      <c r="E7" s="119"/>
    </row>
    <row r="8" spans="1:5" ht="15" thickBot="1" x14ac:dyDescent="0.35">
      <c r="A8" s="322" t="s">
        <v>37</v>
      </c>
      <c r="B8" s="307"/>
      <c r="C8" s="120"/>
      <c r="D8" s="120"/>
      <c r="E8" s="120"/>
    </row>
    <row r="9" spans="1:5" x14ac:dyDescent="0.3">
      <c r="A9" s="154" t="str">
        <f>Sojabone!A9</f>
        <v>Saad / Seed</v>
      </c>
      <c r="B9" s="121"/>
      <c r="C9" s="122">
        <v>4242.5625</v>
      </c>
      <c r="D9" s="122">
        <v>4628.25</v>
      </c>
      <c r="E9" s="122">
        <v>5013.9375</v>
      </c>
    </row>
    <row r="10" spans="1:5" x14ac:dyDescent="0.3">
      <c r="A10" s="154" t="str">
        <f>Sojabone!A10</f>
        <v>Kunsmis / Fertiliser</v>
      </c>
      <c r="B10" s="123"/>
      <c r="C10" s="124">
        <v>11396.240000000002</v>
      </c>
      <c r="D10" s="124">
        <v>14220.3</v>
      </c>
      <c r="E10" s="124">
        <v>17044.36</v>
      </c>
    </row>
    <row r="11" spans="1:5" x14ac:dyDescent="0.3">
      <c r="A11" s="154" t="str">
        <f>Sojabone!A11</f>
        <v>Kalk / Lime</v>
      </c>
      <c r="B11" s="123"/>
      <c r="C11" s="124">
        <v>800</v>
      </c>
      <c r="D11" s="124">
        <v>800</v>
      </c>
      <c r="E11" s="124">
        <v>800</v>
      </c>
    </row>
    <row r="12" spans="1:5" x14ac:dyDescent="0.3">
      <c r="A12" s="154" t="str">
        <f>Sojabone!A12</f>
        <v>Brandstof / Fuel</v>
      </c>
      <c r="B12" s="123"/>
      <c r="C12" s="124">
        <v>1981.0705440000002</v>
      </c>
      <c r="D12" s="124">
        <v>2098.1605440000003</v>
      </c>
      <c r="E12" s="124">
        <v>2215.250544</v>
      </c>
    </row>
    <row r="13" spans="1:5" x14ac:dyDescent="0.3">
      <c r="A13" s="154" t="str">
        <f>Sojabone!A13</f>
        <v>Reparasie / Reparation</v>
      </c>
      <c r="B13" s="123"/>
      <c r="C13" s="124">
        <v>1381.7887333333333</v>
      </c>
      <c r="D13" s="124">
        <v>1401.3020666666666</v>
      </c>
      <c r="E13" s="124">
        <v>1420.8154</v>
      </c>
    </row>
    <row r="14" spans="1:5" x14ac:dyDescent="0.3">
      <c r="A14" s="154" t="str">
        <f>Sojabone!A14</f>
        <v>Onkruiddoders / Herbicide</v>
      </c>
      <c r="B14" s="123"/>
      <c r="C14" s="124">
        <v>1108.23</v>
      </c>
      <c r="D14" s="124">
        <v>1108.23</v>
      </c>
      <c r="E14" s="124">
        <v>1108.23</v>
      </c>
    </row>
    <row r="15" spans="1:5" x14ac:dyDescent="0.3">
      <c r="A15" s="154" t="str">
        <f>Sojabone!A15</f>
        <v>Plaagdoder / Pesticides</v>
      </c>
      <c r="B15" s="123"/>
      <c r="C15" s="124">
        <v>333.54</v>
      </c>
      <c r="D15" s="124">
        <v>333.54</v>
      </c>
      <c r="E15" s="124">
        <v>333.54</v>
      </c>
    </row>
    <row r="16" spans="1:5" x14ac:dyDescent="0.3">
      <c r="A16" s="154" t="str">
        <f>Sojabone!A16</f>
        <v>Insetversekering / Input insurance</v>
      </c>
      <c r="B16" s="123"/>
      <c r="C16" s="124"/>
      <c r="D16" s="124"/>
      <c r="E16" s="124"/>
    </row>
    <row r="17" spans="1:6" x14ac:dyDescent="0.3">
      <c r="A17" s="154" t="str">
        <f>Sojabone!A17</f>
        <v>Besproeiingskoste / Irrigation cost</v>
      </c>
      <c r="B17" s="123"/>
      <c r="C17" s="124">
        <v>11848.4</v>
      </c>
      <c r="D17" s="124">
        <v>11848.4</v>
      </c>
      <c r="E17" s="124">
        <v>11848.4</v>
      </c>
    </row>
    <row r="18" spans="1:6" x14ac:dyDescent="0.3">
      <c r="A18" s="154" t="str">
        <f>Sojabone!A18</f>
        <v>Graanprysverskansing / Grain hedging</v>
      </c>
      <c r="B18" s="123"/>
      <c r="C18" s="124">
        <v>3784.4575934198219</v>
      </c>
      <c r="D18" s="124">
        <v>4179.3347260234605</v>
      </c>
      <c r="E18" s="124">
        <v>4574.2118586271008</v>
      </c>
    </row>
    <row r="19" spans="1:6" x14ac:dyDescent="0.3">
      <c r="A19" s="154" t="str">
        <f>Sojabone!A19</f>
        <v>Kontrakstroop / Contract Harvesting</v>
      </c>
      <c r="B19" s="123"/>
      <c r="C19" s="124"/>
      <c r="D19" s="124"/>
      <c r="E19" s="124"/>
    </row>
    <row r="20" spans="1:6" x14ac:dyDescent="0.3">
      <c r="A20" s="154" t="str">
        <f>Sojabone!A20</f>
        <v>Oesversekering / Harvest insurance</v>
      </c>
      <c r="B20" s="123"/>
      <c r="C20" s="124">
        <v>1089.4100000000001</v>
      </c>
      <c r="D20" s="124">
        <v>1361.7625</v>
      </c>
      <c r="E20" s="124">
        <v>1634.1150000000002</v>
      </c>
    </row>
    <row r="21" spans="1:6" s="174" customFormat="1" x14ac:dyDescent="0.3">
      <c r="A21" s="154" t="str">
        <f>Sojabone!A21</f>
        <v>Lugspuit / Aerial spray</v>
      </c>
      <c r="B21" s="123"/>
      <c r="C21" s="124">
        <v>200</v>
      </c>
      <c r="D21" s="124">
        <v>200</v>
      </c>
      <c r="E21" s="124">
        <v>200</v>
      </c>
      <c r="F21" s="96"/>
    </row>
    <row r="22" spans="1:6" s="174" customFormat="1" x14ac:dyDescent="0.3">
      <c r="A22" s="154" t="str">
        <f>Sojabone!A22</f>
        <v>Losarbeid / Casual labour</v>
      </c>
      <c r="B22" s="123"/>
      <c r="C22" s="124">
        <v>300</v>
      </c>
      <c r="D22" s="124">
        <v>300</v>
      </c>
      <c r="E22" s="124">
        <v>300</v>
      </c>
      <c r="F22" s="96"/>
    </row>
    <row r="23" spans="1:6" s="174" customFormat="1" x14ac:dyDescent="0.3">
      <c r="A23" s="154" t="str">
        <f>Sojabone!A23</f>
        <v>Droogkoste / Drying cost</v>
      </c>
      <c r="B23" s="123"/>
      <c r="C23" s="124"/>
      <c r="D23" s="124"/>
      <c r="E23" s="124"/>
      <c r="F23" s="96"/>
    </row>
    <row r="24" spans="1:6" s="174" customFormat="1" x14ac:dyDescent="0.3">
      <c r="A24" s="154" t="str">
        <f>Sojabone!A24</f>
        <v>Verpakking en Pakmateriaal / Packaging and packaging material</v>
      </c>
      <c r="B24" s="123"/>
      <c r="C24" s="124"/>
      <c r="D24" s="124"/>
      <c r="E24" s="124"/>
      <c r="F24" s="96"/>
    </row>
    <row r="25" spans="1:6" s="174" customFormat="1" ht="15" thickBot="1" x14ac:dyDescent="0.35">
      <c r="A25" s="154" t="str">
        <f>Sojabone!A25</f>
        <v>Produksiekrediet rente / Interest on production R/ha</v>
      </c>
      <c r="B25" s="123"/>
      <c r="C25" s="124">
        <v>2365.6405113013193</v>
      </c>
      <c r="D25" s="124">
        <v>2612.4757099564431</v>
      </c>
      <c r="E25" s="124">
        <v>2859.3109086115669</v>
      </c>
      <c r="F25" s="96"/>
    </row>
    <row r="26" spans="1:6" s="174" customFormat="1" ht="15" thickBot="1" x14ac:dyDescent="0.35">
      <c r="A26" s="327" t="s">
        <v>55</v>
      </c>
      <c r="B26" s="302"/>
      <c r="C26" s="125">
        <f>SUM(C9:C25)</f>
        <v>40831.339882054475</v>
      </c>
      <c r="D26" s="125">
        <f>SUM(D9:D25)</f>
        <v>45091.755546646571</v>
      </c>
      <c r="E26" s="125">
        <f>SUM(E9:E25)</f>
        <v>49352.171211238667</v>
      </c>
      <c r="F26" s="96"/>
    </row>
    <row r="27" spans="1:6" s="174" customFormat="1" ht="15" thickBot="1" x14ac:dyDescent="0.35">
      <c r="A27" s="126"/>
      <c r="B27" s="127"/>
      <c r="C27" s="128"/>
      <c r="D27" s="128"/>
      <c r="E27" s="128"/>
      <c r="F27" s="96"/>
    </row>
    <row r="28" spans="1:6" ht="15" thickBot="1" x14ac:dyDescent="0.35">
      <c r="A28" s="328" t="s">
        <v>56</v>
      </c>
      <c r="B28" s="329"/>
      <c r="C28" s="129">
        <v>6807.9428100000005</v>
      </c>
      <c r="D28" s="125">
        <v>6807.9428100000005</v>
      </c>
      <c r="E28" s="125">
        <v>6807.9428100000005</v>
      </c>
      <c r="F28" s="175"/>
    </row>
    <row r="29" spans="1:6" ht="15" thickBot="1" x14ac:dyDescent="0.35">
      <c r="A29" s="126"/>
      <c r="B29" s="127"/>
      <c r="C29" s="128"/>
      <c r="D29" s="128"/>
      <c r="E29" s="128"/>
    </row>
    <row r="30" spans="1:6" ht="15" thickBot="1" x14ac:dyDescent="0.35">
      <c r="A30" s="296" t="s">
        <v>57</v>
      </c>
      <c r="B30" s="302"/>
      <c r="C30" s="125">
        <f>C26+C28</f>
        <v>47639.282692054476</v>
      </c>
      <c r="D30" s="125">
        <f t="shared" ref="D30:E30" si="0">D26+D28</f>
        <v>51899.698356646571</v>
      </c>
      <c r="E30" s="125">
        <f t="shared" si="0"/>
        <v>56160.114021238667</v>
      </c>
    </row>
    <row r="31" spans="1:6" ht="15" thickBot="1" x14ac:dyDescent="0.35">
      <c r="A31" s="130"/>
      <c r="B31" s="131"/>
      <c r="C31" s="132"/>
      <c r="D31" s="132"/>
      <c r="E31" s="132"/>
    </row>
    <row r="32" spans="1:6" ht="15" thickBot="1" x14ac:dyDescent="0.35">
      <c r="A32" s="296" t="s">
        <v>58</v>
      </c>
      <c r="B32" s="297"/>
      <c r="C32" s="125">
        <f>C30/C5</f>
        <v>5954.9103365068095</v>
      </c>
      <c r="D32" s="125">
        <f>D30/D5</f>
        <v>5189.9698356646568</v>
      </c>
      <c r="E32" s="125">
        <f>E30/E5</f>
        <v>4680.0095017698886</v>
      </c>
    </row>
    <row r="33" spans="1:6" ht="15" thickBot="1" x14ac:dyDescent="0.35">
      <c r="A33" s="130"/>
      <c r="B33" s="131"/>
      <c r="C33" s="132"/>
      <c r="D33" s="132"/>
      <c r="E33" s="132"/>
    </row>
    <row r="34" spans="1:6" ht="15" thickBot="1" x14ac:dyDescent="0.35">
      <c r="A34" s="113" t="s">
        <v>59</v>
      </c>
      <c r="B34" s="173"/>
      <c r="C34" s="125">
        <f>'Pryse + Sensatiwiteitsanalise'!$D$4</f>
        <v>406.25</v>
      </c>
      <c r="D34" s="125">
        <f>'Pryse + Sensatiwiteitsanalise'!$D$4</f>
        <v>406.25</v>
      </c>
      <c r="E34" s="125">
        <f>'Pryse + Sensatiwiteitsanalise'!$D$4</f>
        <v>406.25</v>
      </c>
    </row>
    <row r="35" spans="1:6" ht="15" thickBot="1" x14ac:dyDescent="0.35">
      <c r="A35" s="130"/>
      <c r="B35" s="131"/>
      <c r="C35" s="132"/>
      <c r="D35" s="132"/>
      <c r="E35" s="132"/>
    </row>
    <row r="36" spans="1:6" ht="15" thickBot="1" x14ac:dyDescent="0.35">
      <c r="A36" s="293" t="s">
        <v>60</v>
      </c>
      <c r="B36" s="326"/>
      <c r="C36" s="135">
        <f>C32+C34</f>
        <v>6361.1603365068095</v>
      </c>
      <c r="D36" s="135">
        <f>D32+D34</f>
        <v>5596.2198356646568</v>
      </c>
      <c r="E36" s="135">
        <f>E32+E34</f>
        <v>5086.2595017698886</v>
      </c>
    </row>
    <row r="37" spans="1:6" ht="15" thickBot="1" x14ac:dyDescent="0.35">
      <c r="A37" s="176" t="s">
        <v>61</v>
      </c>
      <c r="B37" s="177"/>
      <c r="C37" s="135">
        <f>'Pryse + Sensatiwiteitsanalise'!B4</f>
        <v>4312</v>
      </c>
      <c r="D37" s="135">
        <f>$C$37</f>
        <v>4312</v>
      </c>
      <c r="E37" s="135">
        <f>$C$37</f>
        <v>4312</v>
      </c>
    </row>
    <row r="38" spans="1:6" ht="15" thickBot="1" x14ac:dyDescent="0.35">
      <c r="C38" s="139"/>
      <c r="D38" s="139"/>
      <c r="E38" s="139"/>
    </row>
    <row r="39" spans="1:6" s="133" customFormat="1" x14ac:dyDescent="0.3">
      <c r="A39" s="280" t="s">
        <v>62</v>
      </c>
      <c r="B39" s="330"/>
      <c r="C39" s="85">
        <f>C6-C26</f>
        <v>-9705.3398820544753</v>
      </c>
      <c r="D39" s="85">
        <f>D6-D26</f>
        <v>-6184.255546646571</v>
      </c>
      <c r="E39" s="85">
        <f>E6-E26</f>
        <v>-2663.1712112386667</v>
      </c>
    </row>
    <row r="40" spans="1:6" s="133" customFormat="1" ht="15" thickBot="1" x14ac:dyDescent="0.35">
      <c r="A40" s="331" t="s">
        <v>63</v>
      </c>
      <c r="B40" s="332"/>
      <c r="C40" s="181">
        <f>C6-C30</f>
        <v>-16513.282692054476</v>
      </c>
      <c r="D40" s="181">
        <f>D6-D30</f>
        <v>-12992.198356646571</v>
      </c>
      <c r="E40" s="181">
        <f>E6-E30</f>
        <v>-9471.1140212386672</v>
      </c>
    </row>
    <row r="41" spans="1:6" x14ac:dyDescent="0.3">
      <c r="A41" s="163" t="s">
        <v>131</v>
      </c>
      <c r="B41" s="164"/>
      <c r="C41" s="164"/>
      <c r="D41" s="164"/>
      <c r="E41" s="178"/>
      <c r="F41" s="142"/>
    </row>
    <row r="42" spans="1:6" x14ac:dyDescent="0.3">
      <c r="A42" s="165" t="s">
        <v>64</v>
      </c>
      <c r="B42" s="166"/>
      <c r="C42" s="166"/>
      <c r="D42" s="166"/>
      <c r="E42" s="179"/>
      <c r="F42" s="142"/>
    </row>
    <row r="43" spans="1:6" ht="15" thickBot="1" x14ac:dyDescent="0.35">
      <c r="A43" s="167" t="s">
        <v>65</v>
      </c>
      <c r="B43" s="168"/>
      <c r="C43" s="168"/>
      <c r="D43" s="168"/>
      <c r="E43" s="180"/>
      <c r="F43" s="142"/>
    </row>
    <row r="44" spans="1:6" x14ac:dyDescent="0.3">
      <c r="A44" s="312" t="s">
        <v>66</v>
      </c>
      <c r="B44" s="313"/>
      <c r="C44" s="313"/>
      <c r="D44" s="313"/>
      <c r="E44" s="314"/>
    </row>
    <row r="45" spans="1:6" x14ac:dyDescent="0.3">
      <c r="A45" s="315"/>
      <c r="B45" s="316"/>
      <c r="C45" s="316"/>
      <c r="D45" s="316"/>
      <c r="E45" s="317"/>
    </row>
    <row r="46" spans="1:6" x14ac:dyDescent="0.3">
      <c r="A46" s="315"/>
      <c r="B46" s="316"/>
      <c r="C46" s="316"/>
      <c r="D46" s="316"/>
      <c r="E46" s="317"/>
    </row>
    <row r="47" spans="1:6" ht="15" thickBot="1" x14ac:dyDescent="0.35">
      <c r="A47" s="318"/>
      <c r="B47" s="319"/>
      <c r="C47" s="319"/>
      <c r="D47" s="319"/>
      <c r="E47" s="320"/>
    </row>
  </sheetData>
  <mergeCells count="11">
    <mergeCell ref="D1:E1"/>
    <mergeCell ref="A44:E47"/>
    <mergeCell ref="A36:B36"/>
    <mergeCell ref="A3:B3"/>
    <mergeCell ref="A8:B8"/>
    <mergeCell ref="A26:B26"/>
    <mergeCell ref="A28:B28"/>
    <mergeCell ref="A30:B30"/>
    <mergeCell ref="A32:B32"/>
    <mergeCell ref="A39:B39"/>
    <mergeCell ref="A40:B40"/>
  </mergeCells>
  <phoneticPr fontId="0" type="noConversion"/>
  <conditionalFormatting sqref="C39:E40">
    <cfRule type="colorScale" priority="49">
      <colorScale>
        <cfvo type="min"/>
        <cfvo type="percentile" val="50"/>
        <cfvo type="max"/>
        <color rgb="FFF8696B"/>
        <color rgb="FFFFEB84"/>
        <color rgb="FF63BE7B"/>
      </colorScale>
    </cfRule>
    <cfRule type="colorScale" priority="50">
      <colorScale>
        <cfvo type="min"/>
        <cfvo type="percentile" val="50"/>
        <cfvo type="max"/>
        <color rgb="FFF8696B"/>
        <color rgb="FFFFEB84"/>
        <color rgb="FF63BE7B"/>
      </colorScale>
    </cfRule>
    <cfRule type="colorScale" priority="51">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84" fitToHeight="0" orientation="portrait" verticalDpi="300" r:id="rId1"/>
  <headerFooter alignWithMargins="0">
    <oddHeader>&amp;F</oddHeader>
    <oddFooter>&amp;A&amp;RPage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47"/>
  <sheetViews>
    <sheetView zoomScale="70" zoomScaleNormal="70" workbookViewId="0">
      <selection activeCell="J17" sqref="J17"/>
    </sheetView>
  </sheetViews>
  <sheetFormatPr defaultColWidth="9.109375" defaultRowHeight="14.4" x14ac:dyDescent="0.3"/>
  <cols>
    <col min="1" max="1" width="46.5546875" style="96" customWidth="1"/>
    <col min="2" max="2" width="18" style="96" customWidth="1"/>
    <col min="3" max="3" width="24.109375" style="96" customWidth="1"/>
    <col min="4" max="4" width="13.6640625" style="96" customWidth="1"/>
    <col min="5" max="8" width="14.33203125" style="96" customWidth="1"/>
    <col min="9" max="19" width="12.6640625" style="96" customWidth="1"/>
    <col min="20" max="16384" width="9.109375" style="96"/>
  </cols>
  <sheetData>
    <row r="1" spans="1:8" ht="30.75" customHeight="1" thickBot="1" x14ac:dyDescent="0.35">
      <c r="A1" s="293" t="s">
        <v>133</v>
      </c>
      <c r="B1" s="294"/>
      <c r="C1" s="294"/>
      <c r="D1" s="294"/>
      <c r="E1" s="295" t="s">
        <v>75</v>
      </c>
      <c r="F1" s="295"/>
      <c r="G1" s="295"/>
      <c r="H1" s="94"/>
    </row>
    <row r="2" spans="1:8" ht="15" thickBot="1" x14ac:dyDescent="0.35">
      <c r="A2" s="97"/>
      <c r="B2" s="98"/>
      <c r="C2" s="99"/>
      <c r="D2" s="99"/>
      <c r="E2" s="99"/>
      <c r="F2" s="99"/>
      <c r="G2" s="99"/>
      <c r="H2" s="99"/>
    </row>
    <row r="3" spans="1:8" ht="36.6" customHeight="1" thickBot="1" x14ac:dyDescent="0.35">
      <c r="A3" s="304" t="s">
        <v>33</v>
      </c>
      <c r="B3" s="305"/>
      <c r="C3" s="305"/>
      <c r="D3" s="101"/>
      <c r="E3" s="102">
        <f>'Pryse + Sensatiwiteitsanalise'!B32</f>
        <v>9522.48</v>
      </c>
      <c r="F3" s="101" t="s">
        <v>34</v>
      </c>
      <c r="G3" s="103"/>
      <c r="H3" s="103"/>
    </row>
    <row r="4" spans="1:8" ht="15" thickBot="1" x14ac:dyDescent="0.35">
      <c r="A4" s="105"/>
      <c r="B4" s="106"/>
      <c r="C4" s="106"/>
      <c r="D4" s="107"/>
      <c r="E4" s="108"/>
      <c r="F4" s="109"/>
      <c r="G4" s="106"/>
      <c r="H4" s="110"/>
    </row>
    <row r="5" spans="1:8" ht="15" thickBot="1" x14ac:dyDescent="0.35">
      <c r="A5" s="111" t="s">
        <v>35</v>
      </c>
      <c r="B5" s="106"/>
      <c r="C5" s="106"/>
      <c r="D5" s="172">
        <v>1</v>
      </c>
      <c r="E5" s="182">
        <v>1.25</v>
      </c>
      <c r="F5" s="172">
        <v>1.5</v>
      </c>
      <c r="G5" s="172">
        <v>1.75</v>
      </c>
      <c r="H5" s="172">
        <v>2</v>
      </c>
    </row>
    <row r="6" spans="1:8" ht="15" thickBot="1" x14ac:dyDescent="0.35">
      <c r="A6" s="113" t="s">
        <v>36</v>
      </c>
      <c r="B6" s="114"/>
      <c r="C6" s="115"/>
      <c r="D6" s="116">
        <v>9522.48</v>
      </c>
      <c r="E6" s="116">
        <v>11903.099999999999</v>
      </c>
      <c r="F6" s="116">
        <v>14283.72</v>
      </c>
      <c r="G6" s="116">
        <v>16664.34</v>
      </c>
      <c r="H6" s="116">
        <v>19044.96</v>
      </c>
    </row>
    <row r="7" spans="1:8" ht="15" thickBot="1" x14ac:dyDescent="0.35">
      <c r="A7" s="117"/>
      <c r="B7" s="118"/>
      <c r="C7" s="118"/>
      <c r="D7" s="119"/>
      <c r="E7" s="119"/>
      <c r="F7" s="119"/>
      <c r="G7" s="119"/>
      <c r="H7" s="119"/>
    </row>
    <row r="8" spans="1:8" ht="15" thickBot="1" x14ac:dyDescent="0.35">
      <c r="A8" s="322" t="s">
        <v>37</v>
      </c>
      <c r="B8" s="323"/>
      <c r="C8" s="334"/>
      <c r="D8" s="120"/>
      <c r="E8" s="120"/>
      <c r="F8" s="120"/>
      <c r="G8" s="120"/>
      <c r="H8" s="120"/>
    </row>
    <row r="9" spans="1:8" x14ac:dyDescent="0.3">
      <c r="A9" s="154" t="str">
        <f>'W-BT Mielies'!A9</f>
        <v>Saad / Seed</v>
      </c>
      <c r="B9" s="154"/>
      <c r="C9" s="154"/>
      <c r="D9" s="155">
        <v>693.73772222222215</v>
      </c>
      <c r="E9" s="122">
        <v>743.2904166666666</v>
      </c>
      <c r="F9" s="122">
        <v>792.84311111111106</v>
      </c>
      <c r="G9" s="122">
        <v>792.84311111111106</v>
      </c>
      <c r="H9" s="122">
        <v>792.84311111111106</v>
      </c>
    </row>
    <row r="10" spans="1:8" x14ac:dyDescent="0.3">
      <c r="A10" s="154" t="str">
        <f>'W-BT Mielies'!A10</f>
        <v>Kunsmis / Fertiliser</v>
      </c>
      <c r="B10" s="154"/>
      <c r="C10" s="154"/>
      <c r="D10" s="157">
        <v>1336.31</v>
      </c>
      <c r="E10" s="124">
        <v>1645.3875</v>
      </c>
      <c r="F10" s="124">
        <v>1954.4650000000001</v>
      </c>
      <c r="G10" s="124">
        <v>2263.5425000000005</v>
      </c>
      <c r="H10" s="124">
        <v>2572.62</v>
      </c>
    </row>
    <row r="11" spans="1:8" x14ac:dyDescent="0.3">
      <c r="A11" s="154" t="str">
        <f>'W-BT Mielies'!A11</f>
        <v>Kalk / Lime</v>
      </c>
      <c r="B11" s="154"/>
      <c r="C11" s="154"/>
      <c r="D11" s="157">
        <v>800</v>
      </c>
      <c r="E11" s="124">
        <v>800</v>
      </c>
      <c r="F11" s="124">
        <v>800</v>
      </c>
      <c r="G11" s="124">
        <v>800</v>
      </c>
      <c r="H11" s="124">
        <v>800</v>
      </c>
    </row>
    <row r="12" spans="1:8" x14ac:dyDescent="0.3">
      <c r="A12" s="154" t="str">
        <f>'W-BT Mielies'!A12</f>
        <v>Brandstof / Fuel</v>
      </c>
      <c r="B12" s="154"/>
      <c r="C12" s="154"/>
      <c r="D12" s="157">
        <v>1527.1461439999998</v>
      </c>
      <c r="E12" s="124">
        <v>1546.6611439999999</v>
      </c>
      <c r="F12" s="124">
        <v>1566.1761439999998</v>
      </c>
      <c r="G12" s="124">
        <v>1585.6911439999999</v>
      </c>
      <c r="H12" s="124">
        <v>1605.2061439999998</v>
      </c>
    </row>
    <row r="13" spans="1:8" x14ac:dyDescent="0.3">
      <c r="A13" s="154" t="str">
        <f>'W-BT Mielies'!A13</f>
        <v>Reparasie / Reparation</v>
      </c>
      <c r="B13" s="154"/>
      <c r="C13" s="154"/>
      <c r="D13" s="157">
        <v>1218.5687333333333</v>
      </c>
      <c r="E13" s="124">
        <v>1219.7570666666666</v>
      </c>
      <c r="F13" s="124">
        <v>1220.9454000000001</v>
      </c>
      <c r="G13" s="124">
        <v>1222.1337333333333</v>
      </c>
      <c r="H13" s="124">
        <v>1223.3220666666666</v>
      </c>
    </row>
    <row r="14" spans="1:8" x14ac:dyDescent="0.3">
      <c r="A14" s="154" t="str">
        <f>'W-BT Mielies'!A14</f>
        <v>Onkruiddoders / Herbicide</v>
      </c>
      <c r="B14" s="154"/>
      <c r="C14" s="154"/>
      <c r="D14" s="157">
        <v>1011.33</v>
      </c>
      <c r="E14" s="124">
        <v>1011.33</v>
      </c>
      <c r="F14" s="124">
        <v>1011.33</v>
      </c>
      <c r="G14" s="124">
        <v>1011.33</v>
      </c>
      <c r="H14" s="124">
        <v>1011.33</v>
      </c>
    </row>
    <row r="15" spans="1:8" x14ac:dyDescent="0.3">
      <c r="A15" s="154" t="str">
        <f>'W-BT Mielies'!A15</f>
        <v>Plaagdoder / Pesticides</v>
      </c>
      <c r="B15" s="154"/>
      <c r="C15" s="154"/>
      <c r="D15" s="157">
        <v>436.72360800000007</v>
      </c>
      <c r="E15" s="124">
        <v>436.72360800000007</v>
      </c>
      <c r="F15" s="124">
        <v>436.72360800000007</v>
      </c>
      <c r="G15" s="124">
        <v>436.72360800000007</v>
      </c>
      <c r="H15" s="124">
        <v>436.72360800000007</v>
      </c>
    </row>
    <row r="16" spans="1:8" x14ac:dyDescent="0.3">
      <c r="A16" s="154" t="str">
        <f>'W-BT Mielies'!A16</f>
        <v>Insetversekering / Input insurance</v>
      </c>
      <c r="B16" s="154"/>
      <c r="C16" s="154"/>
      <c r="D16" s="157"/>
      <c r="E16" s="124"/>
      <c r="F16" s="124"/>
      <c r="G16" s="124"/>
      <c r="H16" s="124"/>
    </row>
    <row r="17" spans="1:8" x14ac:dyDescent="0.3">
      <c r="A17" s="154" t="str">
        <f>'W-BT Mielies'!A17</f>
        <v>Besproeiingskoste / Irrigation cost</v>
      </c>
      <c r="B17" s="154"/>
      <c r="C17" s="154"/>
      <c r="D17" s="157"/>
      <c r="E17" s="124"/>
      <c r="F17" s="124"/>
      <c r="G17" s="124"/>
      <c r="H17" s="124"/>
    </row>
    <row r="18" spans="1:8" x14ac:dyDescent="0.3">
      <c r="A18" s="154" t="str">
        <f>'W-BT Mielies'!A18</f>
        <v>Graanprysverskansing / Grain hedging</v>
      </c>
      <c r="B18" s="154"/>
      <c r="C18" s="154"/>
      <c r="D18" s="157">
        <v>334.07751151693441</v>
      </c>
      <c r="E18" s="124">
        <v>354.36232968393392</v>
      </c>
      <c r="F18" s="124">
        <v>374.64714785093332</v>
      </c>
      <c r="G18" s="124">
        <v>392.84525851398195</v>
      </c>
      <c r="H18" s="124">
        <v>411.04336917703046</v>
      </c>
    </row>
    <row r="19" spans="1:8" x14ac:dyDescent="0.3">
      <c r="A19" s="154" t="str">
        <f>'W-BT Mielies'!A19</f>
        <v>Kontrakstroop / Contract Harvesting</v>
      </c>
      <c r="B19" s="154"/>
      <c r="C19" s="154"/>
      <c r="D19" s="157"/>
      <c r="E19" s="124"/>
      <c r="F19" s="124"/>
      <c r="G19" s="124"/>
      <c r="H19" s="124"/>
    </row>
    <row r="20" spans="1:8" x14ac:dyDescent="0.3">
      <c r="A20" s="154" t="str">
        <f>'W-BT Mielies'!A20</f>
        <v>Oesversekering / Harvest insurance</v>
      </c>
      <c r="B20" s="154"/>
      <c r="C20" s="154"/>
      <c r="D20" s="157">
        <v>409.46663999999993</v>
      </c>
      <c r="E20" s="124">
        <v>511.83329999999989</v>
      </c>
      <c r="F20" s="124">
        <v>614.19995999999992</v>
      </c>
      <c r="G20" s="124">
        <v>716.56661999999994</v>
      </c>
      <c r="H20" s="124">
        <v>818.93327999999985</v>
      </c>
    </row>
    <row r="21" spans="1:8" x14ac:dyDescent="0.3">
      <c r="A21" s="154" t="str">
        <f>'W-BT Mielies'!A21</f>
        <v>Lugspuit / Aerial spray</v>
      </c>
      <c r="B21" s="154"/>
      <c r="C21" s="154"/>
      <c r="D21" s="157">
        <v>200</v>
      </c>
      <c r="E21" s="124">
        <v>200</v>
      </c>
      <c r="F21" s="124">
        <v>200</v>
      </c>
      <c r="G21" s="124">
        <v>200</v>
      </c>
      <c r="H21" s="124">
        <v>200</v>
      </c>
    </row>
    <row r="22" spans="1:8" x14ac:dyDescent="0.3">
      <c r="A22" s="154" t="str">
        <f>'W-BT Mielies'!A22</f>
        <v>Losarbeid / Casual labour</v>
      </c>
      <c r="B22" s="154"/>
      <c r="C22" s="154"/>
      <c r="D22" s="157">
        <v>300</v>
      </c>
      <c r="E22" s="124">
        <v>300</v>
      </c>
      <c r="F22" s="124">
        <v>300</v>
      </c>
      <c r="G22" s="124">
        <v>300</v>
      </c>
      <c r="H22" s="124">
        <v>300</v>
      </c>
    </row>
    <row r="23" spans="1:8" x14ac:dyDescent="0.3">
      <c r="A23" s="154" t="str">
        <f>'W-BT Mielies'!A23</f>
        <v>Droogkoste / Drying cost</v>
      </c>
      <c r="B23" s="154"/>
      <c r="C23" s="154"/>
      <c r="D23" s="157"/>
      <c r="E23" s="124"/>
      <c r="F23" s="124"/>
      <c r="G23" s="124"/>
      <c r="H23" s="124"/>
    </row>
    <row r="24" spans="1:8" x14ac:dyDescent="0.3">
      <c r="A24" s="154" t="str">
        <f>'W-BT Mielies'!A24</f>
        <v>Verpakking en Pakmateriaal / Packaging and packaging material</v>
      </c>
      <c r="B24" s="154"/>
      <c r="C24" s="154"/>
      <c r="D24" s="157"/>
      <c r="E24" s="124"/>
      <c r="F24" s="124"/>
      <c r="G24" s="124"/>
      <c r="H24" s="124"/>
    </row>
    <row r="25" spans="1:8" ht="15" thickBot="1" x14ac:dyDescent="0.35">
      <c r="A25" s="154" t="str">
        <f>'W-BT Mielies'!A25</f>
        <v>Produksiekrediet rente / Interest on production R/ha</v>
      </c>
      <c r="B25" s="154"/>
      <c r="C25" s="154"/>
      <c r="D25" s="184">
        <v>508.44266208295829</v>
      </c>
      <c r="E25" s="185">
        <v>539.31473994856196</v>
      </c>
      <c r="F25" s="185">
        <v>570.18681781416581</v>
      </c>
      <c r="G25" s="185">
        <v>597.88307245994326</v>
      </c>
      <c r="H25" s="185">
        <v>625.57932710572072</v>
      </c>
    </row>
    <row r="26" spans="1:8" ht="15" thickBot="1" x14ac:dyDescent="0.35">
      <c r="A26" s="327" t="s">
        <v>55</v>
      </c>
      <c r="B26" s="335"/>
      <c r="C26" s="336"/>
      <c r="D26" s="125">
        <f>SUM(D9:D25)</f>
        <v>8775.8030211554469</v>
      </c>
      <c r="E26" s="125">
        <f t="shared" ref="E26:H26" si="0">SUM(E9:E25)</f>
        <v>9308.6601049658293</v>
      </c>
      <c r="F26" s="125">
        <f t="shared" si="0"/>
        <v>9841.5171887762117</v>
      </c>
      <c r="G26" s="125">
        <f t="shared" si="0"/>
        <v>10319.559047418368</v>
      </c>
      <c r="H26" s="125">
        <f t="shared" si="0"/>
        <v>10797.600906060528</v>
      </c>
    </row>
    <row r="27" spans="1:8" ht="15" thickBot="1" x14ac:dyDescent="0.35">
      <c r="A27" s="126"/>
      <c r="B27" s="127"/>
      <c r="C27" s="127"/>
      <c r="D27" s="186"/>
      <c r="E27" s="186"/>
      <c r="F27" s="186"/>
      <c r="G27" s="186"/>
      <c r="H27" s="186"/>
    </row>
    <row r="28" spans="1:8" ht="15" thickBot="1" x14ac:dyDescent="0.35">
      <c r="A28" s="309" t="s">
        <v>56</v>
      </c>
      <c r="B28" s="310"/>
      <c r="C28" s="311"/>
      <c r="D28" s="129">
        <v>5786.3480645999998</v>
      </c>
      <c r="E28" s="125">
        <v>5786.3480645999998</v>
      </c>
      <c r="F28" s="125">
        <v>5786.3480645999998</v>
      </c>
      <c r="G28" s="125">
        <v>5786.3480645999998</v>
      </c>
      <c r="H28" s="125">
        <v>5786.3480645999998</v>
      </c>
    </row>
    <row r="29" spans="1:8" ht="15" thickBot="1" x14ac:dyDescent="0.35">
      <c r="A29" s="126"/>
      <c r="B29" s="127"/>
      <c r="C29" s="127"/>
      <c r="D29" s="128"/>
      <c r="E29" s="128"/>
      <c r="F29" s="128"/>
      <c r="G29" s="128"/>
      <c r="H29" s="128"/>
    </row>
    <row r="30" spans="1:8" ht="15" thickBot="1" x14ac:dyDescent="0.35">
      <c r="A30" s="296" t="s">
        <v>57</v>
      </c>
      <c r="B30" s="302"/>
      <c r="C30" s="303"/>
      <c r="D30" s="125">
        <f>D26+D28</f>
        <v>14562.151085755446</v>
      </c>
      <c r="E30" s="125">
        <f>E26+E28</f>
        <v>15095.00816956583</v>
      </c>
      <c r="F30" s="125">
        <f t="shared" ref="F30:H30" si="1">F26+F28</f>
        <v>15627.865253376211</v>
      </c>
      <c r="G30" s="125">
        <f t="shared" si="1"/>
        <v>16105.907112018369</v>
      </c>
      <c r="H30" s="125">
        <f t="shared" si="1"/>
        <v>16583.948970660527</v>
      </c>
    </row>
    <row r="31" spans="1:8" ht="15" thickBot="1" x14ac:dyDescent="0.35">
      <c r="A31" s="130"/>
      <c r="B31" s="131"/>
      <c r="C31" s="131"/>
      <c r="D31" s="132"/>
      <c r="E31" s="132"/>
      <c r="F31" s="132"/>
      <c r="G31" s="132"/>
      <c r="H31" s="132"/>
    </row>
    <row r="32" spans="1:8" ht="15" thickBot="1" x14ac:dyDescent="0.35">
      <c r="A32" s="296" t="s">
        <v>58</v>
      </c>
      <c r="B32" s="297"/>
      <c r="C32" s="298"/>
      <c r="D32" s="125">
        <f>D30/D5</f>
        <v>14562.151085755446</v>
      </c>
      <c r="E32" s="125">
        <f t="shared" ref="E32:H32" si="2">E30/E5</f>
        <v>12076.006535652665</v>
      </c>
      <c r="F32" s="125">
        <f t="shared" si="2"/>
        <v>10418.576835584141</v>
      </c>
      <c r="G32" s="125">
        <f t="shared" si="2"/>
        <v>9203.3754925819248</v>
      </c>
      <c r="H32" s="125">
        <f t="shared" si="2"/>
        <v>8291.9744853302636</v>
      </c>
    </row>
    <row r="33" spans="1:8" ht="15" thickBot="1" x14ac:dyDescent="0.35">
      <c r="A33" s="117"/>
      <c r="B33" s="118"/>
      <c r="C33" s="118"/>
      <c r="D33" s="132"/>
      <c r="E33" s="132"/>
      <c r="F33" s="132"/>
      <c r="G33" s="132"/>
      <c r="H33" s="132"/>
    </row>
    <row r="34" spans="1:8" ht="15" thickBot="1" x14ac:dyDescent="0.35">
      <c r="A34" s="134" t="s">
        <v>59</v>
      </c>
      <c r="B34" s="114"/>
      <c r="C34" s="114"/>
      <c r="D34" s="125">
        <f>'Pryse + Sensatiwiteitsanalise'!D5</f>
        <v>477.52</v>
      </c>
      <c r="E34" s="125">
        <f>$D$34</f>
        <v>477.52</v>
      </c>
      <c r="F34" s="125">
        <f>$D$34</f>
        <v>477.52</v>
      </c>
      <c r="G34" s="125">
        <f>$D$34</f>
        <v>477.52</v>
      </c>
      <c r="H34" s="125">
        <f>$D$34</f>
        <v>477.52</v>
      </c>
    </row>
    <row r="35" spans="1:8" ht="15" thickBot="1" x14ac:dyDescent="0.35">
      <c r="A35" s="117"/>
      <c r="B35" s="118"/>
      <c r="C35" s="118"/>
      <c r="D35" s="132"/>
      <c r="E35" s="132"/>
      <c r="F35" s="132"/>
      <c r="G35" s="132"/>
      <c r="H35" s="132"/>
    </row>
    <row r="36" spans="1:8" ht="15" thickBot="1" x14ac:dyDescent="0.35">
      <c r="A36" s="299" t="s">
        <v>60</v>
      </c>
      <c r="B36" s="300"/>
      <c r="C36" s="301"/>
      <c r="D36" s="135">
        <f>D32+D34</f>
        <v>15039.671085755446</v>
      </c>
      <c r="E36" s="135">
        <f>E32+E34</f>
        <v>12553.526535652665</v>
      </c>
      <c r="F36" s="135">
        <f>F32+F34</f>
        <v>10896.096835584141</v>
      </c>
      <c r="G36" s="135">
        <f>G32+G34</f>
        <v>9680.8954925819253</v>
      </c>
      <c r="H36" s="135">
        <f>H32+H34</f>
        <v>8769.4944853302641</v>
      </c>
    </row>
    <row r="37" spans="1:8" ht="15" thickBot="1" x14ac:dyDescent="0.35">
      <c r="A37" s="136" t="s">
        <v>61</v>
      </c>
      <c r="B37" s="137"/>
      <c r="C37" s="138"/>
      <c r="D37" s="135">
        <f>'Pryse + Sensatiwiteitsanalise'!B5</f>
        <v>10000</v>
      </c>
      <c r="E37" s="135">
        <f>$D$37</f>
        <v>10000</v>
      </c>
      <c r="F37" s="135">
        <f>$D$37</f>
        <v>10000</v>
      </c>
      <c r="G37" s="135">
        <f>$D$37</f>
        <v>10000</v>
      </c>
      <c r="H37" s="135">
        <f>$D$37</f>
        <v>10000</v>
      </c>
    </row>
    <row r="38" spans="1:8" ht="15" thickBot="1" x14ac:dyDescent="0.35">
      <c r="D38" s="139"/>
      <c r="E38" s="139"/>
      <c r="F38" s="139"/>
      <c r="G38" s="139"/>
      <c r="H38" s="139"/>
    </row>
    <row r="39" spans="1:8" s="133" customFormat="1" x14ac:dyDescent="0.3">
      <c r="A39" s="280" t="s">
        <v>62</v>
      </c>
      <c r="B39" s="281"/>
      <c r="C39" s="281"/>
      <c r="D39" s="85">
        <f t="shared" ref="D39:H39" si="3">D6-D26</f>
        <v>746.67697884455265</v>
      </c>
      <c r="E39" s="86">
        <f t="shared" si="3"/>
        <v>2594.4398950341692</v>
      </c>
      <c r="F39" s="85">
        <f t="shared" si="3"/>
        <v>4442.2028112237876</v>
      </c>
      <c r="G39" s="86">
        <f t="shared" si="3"/>
        <v>6344.7809525816319</v>
      </c>
      <c r="H39" s="85">
        <f t="shared" si="3"/>
        <v>8247.3590939394708</v>
      </c>
    </row>
    <row r="40" spans="1:8" s="133" customFormat="1" ht="15" thickBot="1" x14ac:dyDescent="0.35">
      <c r="A40" s="331" t="s">
        <v>63</v>
      </c>
      <c r="B40" s="333"/>
      <c r="C40" s="333"/>
      <c r="D40" s="181">
        <f t="shared" ref="D40:H40" si="4">D6-D30</f>
        <v>-5039.6710857554463</v>
      </c>
      <c r="E40" s="187">
        <f t="shared" si="4"/>
        <v>-3191.9081695658315</v>
      </c>
      <c r="F40" s="181">
        <f t="shared" si="4"/>
        <v>-1344.1452533762113</v>
      </c>
      <c r="G40" s="187">
        <f t="shared" si="4"/>
        <v>558.43288798163121</v>
      </c>
      <c r="H40" s="181">
        <f t="shared" si="4"/>
        <v>2461.0110293394719</v>
      </c>
    </row>
    <row r="41" spans="1:8" x14ac:dyDescent="0.3">
      <c r="A41" s="163" t="s">
        <v>131</v>
      </c>
      <c r="B41" s="164"/>
      <c r="C41" s="164"/>
      <c r="D41" s="164"/>
      <c r="E41" s="164"/>
      <c r="F41" s="164"/>
      <c r="G41" s="164"/>
      <c r="H41" s="178"/>
    </row>
    <row r="42" spans="1:8" x14ac:dyDescent="0.3">
      <c r="A42" s="165" t="s">
        <v>64</v>
      </c>
      <c r="B42" s="166"/>
      <c r="C42" s="166"/>
      <c r="D42" s="166"/>
      <c r="E42" s="166"/>
      <c r="F42" s="166"/>
      <c r="G42" s="166"/>
      <c r="H42" s="179"/>
    </row>
    <row r="43" spans="1:8" ht="15" thickBot="1" x14ac:dyDescent="0.35">
      <c r="A43" s="167" t="s">
        <v>65</v>
      </c>
      <c r="B43" s="168"/>
      <c r="C43" s="168"/>
      <c r="D43" s="168"/>
      <c r="E43" s="168"/>
      <c r="F43" s="168"/>
      <c r="G43" s="168"/>
      <c r="H43" s="180"/>
    </row>
    <row r="44" spans="1:8" x14ac:dyDescent="0.3">
      <c r="A44" s="312" t="s">
        <v>66</v>
      </c>
      <c r="B44" s="313"/>
      <c r="C44" s="313"/>
      <c r="D44" s="313"/>
      <c r="E44" s="313"/>
      <c r="F44" s="313"/>
      <c r="G44" s="313"/>
      <c r="H44" s="314"/>
    </row>
    <row r="45" spans="1:8" x14ac:dyDescent="0.3">
      <c r="A45" s="315"/>
      <c r="B45" s="316"/>
      <c r="C45" s="316"/>
      <c r="D45" s="316"/>
      <c r="E45" s="316"/>
      <c r="F45" s="316"/>
      <c r="G45" s="316"/>
      <c r="H45" s="317"/>
    </row>
    <row r="46" spans="1:8" x14ac:dyDescent="0.3">
      <c r="A46" s="315"/>
      <c r="B46" s="316"/>
      <c r="C46" s="316"/>
      <c r="D46" s="316"/>
      <c r="E46" s="316"/>
      <c r="F46" s="316"/>
      <c r="G46" s="316"/>
      <c r="H46" s="317"/>
    </row>
    <row r="47" spans="1:8" ht="15" thickBot="1" x14ac:dyDescent="0.35">
      <c r="A47" s="318"/>
      <c r="B47" s="319"/>
      <c r="C47" s="319"/>
      <c r="D47" s="319"/>
      <c r="E47" s="319"/>
      <c r="F47" s="319"/>
      <c r="G47" s="319"/>
      <c r="H47" s="320"/>
    </row>
  </sheetData>
  <mergeCells count="12">
    <mergeCell ref="A44:H47"/>
    <mergeCell ref="A39:C39"/>
    <mergeCell ref="A40:C40"/>
    <mergeCell ref="A1:D1"/>
    <mergeCell ref="E1:G1"/>
    <mergeCell ref="A32:C32"/>
    <mergeCell ref="A36:C36"/>
    <mergeCell ref="A30:C30"/>
    <mergeCell ref="A3:C3"/>
    <mergeCell ref="A8:C8"/>
    <mergeCell ref="A26:C26"/>
    <mergeCell ref="A28:C28"/>
  </mergeCells>
  <phoneticPr fontId="0" type="noConversion"/>
  <conditionalFormatting sqref="D39:H40">
    <cfRule type="colorScale" priority="55">
      <colorScale>
        <cfvo type="min"/>
        <cfvo type="percentile" val="50"/>
        <cfvo type="max"/>
        <color rgb="FFF8696B"/>
        <color rgb="FFFFEB84"/>
        <color rgb="FF63BE7B"/>
      </colorScale>
    </cfRule>
    <cfRule type="colorScale" priority="56">
      <colorScale>
        <cfvo type="min"/>
        <cfvo type="percentile" val="50"/>
        <cfvo type="max"/>
        <color rgb="FFF8696B"/>
        <color rgb="FFFFEB84"/>
        <color rgb="FF63BE7B"/>
      </colorScale>
    </cfRule>
    <cfRule type="colorScale" priority="57">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66" fitToHeight="0" orientation="portrait" r:id="rId1"/>
  <headerFooter alignWithMargins="0">
    <oddHeader>&amp;F</oddHeader>
    <oddFooter>&amp;A&amp;RPage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7"/>
  <sheetViews>
    <sheetView zoomScale="70" zoomScaleNormal="70" workbookViewId="0">
      <selection activeCell="L37" sqref="L37"/>
    </sheetView>
  </sheetViews>
  <sheetFormatPr defaultColWidth="9.109375" defaultRowHeight="14.4" x14ac:dyDescent="0.3"/>
  <cols>
    <col min="1" max="1" width="56.33203125" style="96" customWidth="1"/>
    <col min="2" max="2" width="18" style="96" customWidth="1"/>
    <col min="3" max="3" width="17.33203125" style="96" customWidth="1"/>
    <col min="4" max="4" width="13.88671875" style="96" customWidth="1"/>
    <col min="5" max="7" width="14.33203125" style="96" customWidth="1"/>
    <col min="8" max="8" width="14.44140625" style="96" customWidth="1"/>
    <col min="9" max="11" width="12.6640625" style="96" hidden="1" customWidth="1"/>
    <col min="12" max="24" width="12.6640625" style="96" customWidth="1"/>
    <col min="25" max="16384" width="9.109375" style="96"/>
  </cols>
  <sheetData>
    <row r="1" spans="1:11" ht="30.75" customHeight="1" thickBot="1" x14ac:dyDescent="0.35">
      <c r="A1" s="293" t="s">
        <v>134</v>
      </c>
      <c r="B1" s="294"/>
      <c r="C1" s="294"/>
      <c r="D1" s="294"/>
      <c r="E1" s="295" t="s">
        <v>74</v>
      </c>
      <c r="F1" s="295"/>
      <c r="G1" s="295"/>
    </row>
    <row r="2" spans="1:11" ht="15" thickBot="1" x14ac:dyDescent="0.35">
      <c r="A2" s="97"/>
      <c r="B2" s="98"/>
      <c r="C2" s="99"/>
      <c r="D2" s="99"/>
      <c r="E2" s="99"/>
      <c r="F2" s="99"/>
      <c r="G2" s="100"/>
    </row>
    <row r="3" spans="1:11" ht="40.200000000000003" customHeight="1" thickBot="1" x14ac:dyDescent="0.35">
      <c r="A3" s="304" t="s">
        <v>33</v>
      </c>
      <c r="B3" s="305"/>
      <c r="C3" s="305"/>
      <c r="D3" s="101"/>
      <c r="E3" s="102">
        <f>'Pryse + Sensatiwiteitsanalise'!B45</f>
        <v>8238.83</v>
      </c>
      <c r="F3" s="101" t="s">
        <v>34</v>
      </c>
      <c r="G3" s="104"/>
    </row>
    <row r="4" spans="1:11" ht="15" thickBot="1" x14ac:dyDescent="0.35">
      <c r="A4" s="105"/>
      <c r="B4" s="106"/>
      <c r="C4" s="106"/>
      <c r="D4" s="107"/>
      <c r="E4" s="108"/>
      <c r="F4" s="109"/>
      <c r="G4" s="188"/>
    </row>
    <row r="5" spans="1:11" ht="15" thickBot="1" x14ac:dyDescent="0.35">
      <c r="A5" s="111" t="s">
        <v>35</v>
      </c>
      <c r="B5" s="106"/>
      <c r="C5" s="106"/>
      <c r="D5" s="172">
        <v>1</v>
      </c>
      <c r="E5" s="172">
        <v>1.5</v>
      </c>
      <c r="F5" s="172">
        <v>1.8</v>
      </c>
      <c r="G5" s="172">
        <v>2</v>
      </c>
    </row>
    <row r="6" spans="1:11" ht="15" thickBot="1" x14ac:dyDescent="0.35">
      <c r="A6" s="113" t="s">
        <v>36</v>
      </c>
      <c r="B6" s="114"/>
      <c r="C6" s="115"/>
      <c r="D6" s="116">
        <v>8238.83</v>
      </c>
      <c r="E6" s="116">
        <v>12358.244999999999</v>
      </c>
      <c r="F6" s="116">
        <v>14829.894</v>
      </c>
      <c r="G6" s="116">
        <v>16477.66</v>
      </c>
    </row>
    <row r="7" spans="1:11" ht="15" thickBot="1" x14ac:dyDescent="0.35">
      <c r="A7" s="117"/>
      <c r="B7" s="118"/>
      <c r="C7" s="118"/>
      <c r="D7" s="119"/>
      <c r="E7" s="119"/>
      <c r="F7" s="119"/>
      <c r="G7" s="119"/>
      <c r="I7" s="321" t="s">
        <v>76</v>
      </c>
      <c r="J7" s="321"/>
      <c r="K7" s="321"/>
    </row>
    <row r="8" spans="1:11" ht="15" thickBot="1" x14ac:dyDescent="0.35">
      <c r="A8" s="322" t="s">
        <v>37</v>
      </c>
      <c r="B8" s="307"/>
      <c r="C8" s="308"/>
      <c r="D8" s="120"/>
      <c r="E8" s="120"/>
      <c r="F8" s="120"/>
      <c r="G8" s="120"/>
      <c r="I8" s="153" t="s">
        <v>70</v>
      </c>
      <c r="J8" s="153" t="s">
        <v>71</v>
      </c>
      <c r="K8" s="153" t="s">
        <v>72</v>
      </c>
    </row>
    <row r="9" spans="1:11" x14ac:dyDescent="0.3">
      <c r="A9" s="154" t="str">
        <f>Sonneblom!A9</f>
        <v>Saad / Seed</v>
      </c>
      <c r="B9" s="121"/>
      <c r="C9" s="121"/>
      <c r="D9" s="122">
        <v>2269.8022799999999</v>
      </c>
      <c r="E9" s="122">
        <v>2269.8022799999999</v>
      </c>
      <c r="F9" s="122">
        <v>2269.8022799999999</v>
      </c>
      <c r="G9" s="122">
        <v>2269.8022799999999</v>
      </c>
      <c r="I9" s="156">
        <f>D5</f>
        <v>1</v>
      </c>
      <c r="J9" s="156">
        <f>D26</f>
        <v>11016.064583307338</v>
      </c>
      <c r="K9" s="156">
        <f>D28</f>
        <v>4226.6698500000002</v>
      </c>
    </row>
    <row r="10" spans="1:11" x14ac:dyDescent="0.3">
      <c r="A10" s="154" t="str">
        <f>Sonneblom!A10</f>
        <v>Kunsmis / Fertiliser</v>
      </c>
      <c r="B10" s="123"/>
      <c r="C10" s="123"/>
      <c r="D10" s="124">
        <v>1441.7400000000002</v>
      </c>
      <c r="E10" s="124">
        <v>2112.61</v>
      </c>
      <c r="F10" s="124">
        <v>2515.1320000000005</v>
      </c>
      <c r="G10" s="124">
        <v>2783.4800000000005</v>
      </c>
      <c r="I10" s="156">
        <f>E5</f>
        <v>1.5</v>
      </c>
      <c r="J10" s="156">
        <f>E26</f>
        <v>12233.9866230527</v>
      </c>
      <c r="K10" s="156">
        <f>E28</f>
        <v>4226.6698500000002</v>
      </c>
    </row>
    <row r="11" spans="1:11" x14ac:dyDescent="0.3">
      <c r="A11" s="154" t="str">
        <f>Sonneblom!A11</f>
        <v>Kalk / Lime</v>
      </c>
      <c r="B11" s="123"/>
      <c r="C11" s="123"/>
      <c r="D11" s="124">
        <v>800</v>
      </c>
      <c r="E11" s="124">
        <v>800</v>
      </c>
      <c r="F11" s="124">
        <v>800</v>
      </c>
      <c r="G11" s="124">
        <v>800</v>
      </c>
      <c r="I11" s="156">
        <f>F5</f>
        <v>1.8</v>
      </c>
      <c r="J11" s="156">
        <f>F26</f>
        <v>12941.518552781406</v>
      </c>
      <c r="K11" s="156">
        <f>F28</f>
        <v>4226.6698500000002</v>
      </c>
    </row>
    <row r="12" spans="1:11" x14ac:dyDescent="0.3">
      <c r="A12" s="154" t="str">
        <f>Sonneblom!A12</f>
        <v>Brandstof / Fuel</v>
      </c>
      <c r="B12" s="123"/>
      <c r="C12" s="123"/>
      <c r="D12" s="124">
        <v>1572.556544</v>
      </c>
      <c r="E12" s="124">
        <v>1598.576544</v>
      </c>
      <c r="F12" s="124">
        <v>1619.392544</v>
      </c>
      <c r="G12" s="124">
        <v>1637.6065440000002</v>
      </c>
      <c r="I12" s="156">
        <f>G5</f>
        <v>2</v>
      </c>
      <c r="J12" s="156">
        <f>G26</f>
        <v>13418.039631877467</v>
      </c>
      <c r="K12" s="156">
        <f>G28</f>
        <v>4226.6698500000002</v>
      </c>
    </row>
    <row r="13" spans="1:11" x14ac:dyDescent="0.3">
      <c r="A13" s="154" t="str">
        <f>Sonneblom!A13</f>
        <v>Reparasie / Reparation</v>
      </c>
      <c r="B13" s="123"/>
      <c r="C13" s="123"/>
      <c r="D13" s="124">
        <v>1147.1037333333334</v>
      </c>
      <c r="E13" s="124">
        <v>1192.8804</v>
      </c>
      <c r="F13" s="124">
        <v>1194.3063999999999</v>
      </c>
      <c r="G13" s="124">
        <v>1195.2570666666666</v>
      </c>
      <c r="I13" s="156" t="e">
        <f>#REF!</f>
        <v>#REF!</v>
      </c>
      <c r="J13" s="156" t="e">
        <f>#REF!</f>
        <v>#REF!</v>
      </c>
      <c r="K13" s="156" t="e">
        <f>#REF!</f>
        <v>#REF!</v>
      </c>
    </row>
    <row r="14" spans="1:11" x14ac:dyDescent="0.3">
      <c r="A14" s="154" t="str">
        <f>Sonneblom!A14</f>
        <v>Onkruiddoders / Herbicide</v>
      </c>
      <c r="B14" s="123"/>
      <c r="C14" s="123"/>
      <c r="D14" s="124">
        <v>590.58000000000004</v>
      </c>
      <c r="E14" s="124">
        <v>590.58000000000004</v>
      </c>
      <c r="F14" s="124">
        <v>590.58000000000004</v>
      </c>
      <c r="G14" s="124">
        <v>590.58000000000004</v>
      </c>
    </row>
    <row r="15" spans="1:11" x14ac:dyDescent="0.3">
      <c r="A15" s="154" t="str">
        <f>Sonneblom!A15</f>
        <v>Plaagdoder / Pesticides</v>
      </c>
      <c r="B15" s="123"/>
      <c r="C15" s="123"/>
      <c r="D15" s="124">
        <v>862.41</v>
      </c>
      <c r="E15" s="124">
        <v>862.41</v>
      </c>
      <c r="F15" s="124">
        <v>862.41</v>
      </c>
      <c r="G15" s="124">
        <v>862.41</v>
      </c>
    </row>
    <row r="16" spans="1:11" x14ac:dyDescent="0.3">
      <c r="A16" s="154" t="str">
        <f>Sonneblom!A16</f>
        <v>Insetversekering / Input insurance</v>
      </c>
      <c r="B16" s="123"/>
      <c r="C16" s="123"/>
      <c r="D16" s="124"/>
      <c r="E16" s="124"/>
      <c r="F16" s="124"/>
      <c r="G16" s="124"/>
    </row>
    <row r="17" spans="1:8" x14ac:dyDescent="0.3">
      <c r="A17" s="154" t="str">
        <f>Sonneblom!A17</f>
        <v>Besproeiingskoste / Irrigation cost</v>
      </c>
      <c r="B17" s="123"/>
      <c r="C17" s="123"/>
      <c r="D17" s="124"/>
      <c r="E17" s="124"/>
      <c r="F17" s="124"/>
      <c r="G17" s="124"/>
    </row>
    <row r="18" spans="1:8" x14ac:dyDescent="0.3">
      <c r="A18" s="154" t="str">
        <f>Sonneblom!A18</f>
        <v>Graanprysverskansing / Grain hedging</v>
      </c>
      <c r="B18" s="123"/>
      <c r="C18" s="123"/>
      <c r="D18" s="124">
        <v>493.33504462835947</v>
      </c>
      <c r="E18" s="124">
        <v>547.87753748393891</v>
      </c>
      <c r="F18" s="124">
        <v>579.56310845069015</v>
      </c>
      <c r="G18" s="124">
        <v>600.90326545906805</v>
      </c>
    </row>
    <row r="19" spans="1:8" x14ac:dyDescent="0.3">
      <c r="A19" s="154" t="str">
        <f>Sonneblom!A19</f>
        <v>Kontrakstroop / Contract Harvesting</v>
      </c>
      <c r="B19" s="123"/>
      <c r="C19" s="123"/>
      <c r="D19" s="124"/>
      <c r="E19" s="124"/>
      <c r="F19" s="124"/>
      <c r="G19" s="124"/>
    </row>
    <row r="20" spans="1:8" x14ac:dyDescent="0.3">
      <c r="A20" s="154" t="str">
        <f>Sonneblom!A20</f>
        <v>Oesversekering / Harvest insurance</v>
      </c>
      <c r="B20" s="123"/>
      <c r="C20" s="123"/>
      <c r="D20" s="124">
        <v>700.30055000000004</v>
      </c>
      <c r="E20" s="124">
        <v>1050.4508249999999</v>
      </c>
      <c r="F20" s="124">
        <v>1260.5409900000002</v>
      </c>
      <c r="G20" s="124">
        <v>1400.6011000000001</v>
      </c>
    </row>
    <row r="21" spans="1:8" x14ac:dyDescent="0.3">
      <c r="A21" s="154" t="str">
        <f>Sonneblom!A21</f>
        <v>Lugspuit / Aerial spray</v>
      </c>
      <c r="B21" s="123"/>
      <c r="C21" s="123"/>
      <c r="D21" s="124">
        <v>200</v>
      </c>
      <c r="E21" s="124">
        <v>200</v>
      </c>
      <c r="F21" s="124">
        <v>200</v>
      </c>
      <c r="G21" s="124">
        <v>200</v>
      </c>
    </row>
    <row r="22" spans="1:8" x14ac:dyDescent="0.3">
      <c r="A22" s="154" t="str">
        <f>Sonneblom!A22</f>
        <v>Losarbeid / Casual labour</v>
      </c>
      <c r="B22" s="123"/>
      <c r="C22" s="123"/>
      <c r="D22" s="124">
        <v>300</v>
      </c>
      <c r="E22" s="124">
        <v>300</v>
      </c>
      <c r="F22" s="124">
        <v>300</v>
      </c>
      <c r="G22" s="124">
        <v>300</v>
      </c>
    </row>
    <row r="23" spans="1:8" x14ac:dyDescent="0.3">
      <c r="A23" s="154" t="str">
        <f>Sonneblom!A23</f>
        <v>Droogkoste / Drying cost</v>
      </c>
      <c r="B23" s="123"/>
      <c r="C23" s="123"/>
      <c r="D23" s="124"/>
      <c r="E23" s="124"/>
      <c r="F23" s="124"/>
      <c r="G23" s="124"/>
    </row>
    <row r="24" spans="1:8" x14ac:dyDescent="0.3">
      <c r="A24" s="154" t="str">
        <f>Sonneblom!A24</f>
        <v>Verpakking en Pakmateriaal / Packaging and packaging material</v>
      </c>
      <c r="B24" s="123"/>
      <c r="C24" s="123"/>
      <c r="D24" s="124"/>
      <c r="E24" s="124"/>
      <c r="F24" s="124"/>
      <c r="G24" s="124"/>
    </row>
    <row r="25" spans="1:8" ht="15" thickBot="1" x14ac:dyDescent="0.35">
      <c r="A25" s="154" t="str">
        <f>Sonneblom!A25</f>
        <v>Produksiekrediet rente / Interest on production R/ha</v>
      </c>
      <c r="B25" s="123"/>
      <c r="C25" s="123"/>
      <c r="D25" s="124">
        <v>638.23643134564429</v>
      </c>
      <c r="E25" s="124">
        <v>708.79903656876229</v>
      </c>
      <c r="F25" s="124">
        <v>749.79123033071755</v>
      </c>
      <c r="G25" s="124">
        <v>777.3993757517328</v>
      </c>
    </row>
    <row r="26" spans="1:8" ht="15" thickBot="1" x14ac:dyDescent="0.35">
      <c r="A26" s="327" t="s">
        <v>55</v>
      </c>
      <c r="B26" s="302"/>
      <c r="C26" s="303"/>
      <c r="D26" s="125">
        <f>SUM(D9:D25)</f>
        <v>11016.064583307338</v>
      </c>
      <c r="E26" s="125">
        <f>SUM(E9:E25)</f>
        <v>12233.9866230527</v>
      </c>
      <c r="F26" s="125">
        <f t="shared" ref="F26:G26" si="0">SUM(F9:F25)</f>
        <v>12941.518552781406</v>
      </c>
      <c r="G26" s="125">
        <f t="shared" si="0"/>
        <v>13418.039631877467</v>
      </c>
    </row>
    <row r="27" spans="1:8" ht="15" thickBot="1" x14ac:dyDescent="0.35">
      <c r="A27" s="126"/>
      <c r="B27" s="127"/>
      <c r="C27" s="127"/>
      <c r="D27" s="186"/>
      <c r="E27" s="186"/>
      <c r="F27" s="186"/>
      <c r="G27" s="186"/>
      <c r="H27" s="183"/>
    </row>
    <row r="28" spans="1:8" ht="15" thickBot="1" x14ac:dyDescent="0.35">
      <c r="A28" s="309" t="s">
        <v>56</v>
      </c>
      <c r="B28" s="310"/>
      <c r="C28" s="311"/>
      <c r="D28" s="129">
        <v>4226.6698500000002</v>
      </c>
      <c r="E28" s="125">
        <v>4226.6698500000002</v>
      </c>
      <c r="F28" s="125">
        <v>4226.6698500000002</v>
      </c>
      <c r="G28" s="125">
        <v>4226.6698500000002</v>
      </c>
      <c r="H28" s="175"/>
    </row>
    <row r="29" spans="1:8" ht="15" thickBot="1" x14ac:dyDescent="0.35">
      <c r="A29" s="126"/>
      <c r="B29" s="127"/>
      <c r="C29" s="127"/>
      <c r="D29" s="128"/>
      <c r="E29" s="128"/>
      <c r="F29" s="128"/>
      <c r="G29" s="128"/>
    </row>
    <row r="30" spans="1:8" ht="15" thickBot="1" x14ac:dyDescent="0.35">
      <c r="A30" s="296" t="s">
        <v>57</v>
      </c>
      <c r="B30" s="302"/>
      <c r="C30" s="303"/>
      <c r="D30" s="125">
        <f>D26+D28</f>
        <v>15242.734433307338</v>
      </c>
      <c r="E30" s="125">
        <f t="shared" ref="E30:G30" si="1">E26+E28</f>
        <v>16460.656473052702</v>
      </c>
      <c r="F30" s="125">
        <f t="shared" si="1"/>
        <v>17168.188402781409</v>
      </c>
      <c r="G30" s="125">
        <f t="shared" si="1"/>
        <v>17644.709481877468</v>
      </c>
    </row>
    <row r="31" spans="1:8" ht="15" thickBot="1" x14ac:dyDescent="0.35">
      <c r="A31" s="130"/>
      <c r="B31" s="131"/>
      <c r="C31" s="131"/>
      <c r="D31" s="132"/>
      <c r="E31" s="132"/>
      <c r="F31" s="132"/>
      <c r="G31" s="132"/>
    </row>
    <row r="32" spans="1:8" ht="15" thickBot="1" x14ac:dyDescent="0.35">
      <c r="A32" s="296" t="s">
        <v>58</v>
      </c>
      <c r="B32" s="297"/>
      <c r="C32" s="298"/>
      <c r="D32" s="125">
        <f>D30/D5</f>
        <v>15242.734433307338</v>
      </c>
      <c r="E32" s="125">
        <f t="shared" ref="E32:G32" si="2">E30/E5</f>
        <v>10973.770982035136</v>
      </c>
      <c r="F32" s="125">
        <f t="shared" si="2"/>
        <v>9537.8824459896714</v>
      </c>
      <c r="G32" s="125">
        <f t="shared" si="2"/>
        <v>8822.3547409387338</v>
      </c>
    </row>
    <row r="33" spans="1:8" ht="15" thickBot="1" x14ac:dyDescent="0.35">
      <c r="A33" s="117"/>
      <c r="B33" s="118"/>
      <c r="C33" s="118"/>
      <c r="D33" s="132"/>
      <c r="E33" s="132"/>
      <c r="F33" s="132"/>
      <c r="G33" s="132"/>
    </row>
    <row r="34" spans="1:8" ht="15" thickBot="1" x14ac:dyDescent="0.35">
      <c r="A34" s="134" t="s">
        <v>59</v>
      </c>
      <c r="B34" s="114"/>
      <c r="C34" s="114"/>
      <c r="D34" s="125">
        <f>'Pryse + Sensatiwiteitsanalise'!$D$6</f>
        <v>106.17</v>
      </c>
      <c r="E34" s="125">
        <f>'Pryse + Sensatiwiteitsanalise'!$D$6</f>
        <v>106.17</v>
      </c>
      <c r="F34" s="125">
        <f>'Pryse + Sensatiwiteitsanalise'!$D$6</f>
        <v>106.17</v>
      </c>
      <c r="G34" s="125">
        <f>'Pryse + Sensatiwiteitsanalise'!$D$6</f>
        <v>106.17</v>
      </c>
    </row>
    <row r="35" spans="1:8" ht="15" thickBot="1" x14ac:dyDescent="0.35">
      <c r="A35" s="117"/>
      <c r="B35" s="118"/>
      <c r="C35" s="118"/>
      <c r="D35" s="132"/>
      <c r="E35" s="132"/>
      <c r="F35" s="132"/>
      <c r="G35" s="132"/>
    </row>
    <row r="36" spans="1:8" ht="15" thickBot="1" x14ac:dyDescent="0.35">
      <c r="A36" s="299" t="s">
        <v>60</v>
      </c>
      <c r="B36" s="300"/>
      <c r="C36" s="301"/>
      <c r="D36" s="135">
        <f>D32+D34</f>
        <v>15348.904433307338</v>
      </c>
      <c r="E36" s="135">
        <f>E32+E34</f>
        <v>11079.940982035136</v>
      </c>
      <c r="F36" s="135">
        <f>F32+F34</f>
        <v>9644.0524459896715</v>
      </c>
      <c r="G36" s="135">
        <f>G32+G34</f>
        <v>8928.5247409387339</v>
      </c>
    </row>
    <row r="37" spans="1:8" ht="15" thickBot="1" x14ac:dyDescent="0.35">
      <c r="A37" s="136" t="s">
        <v>61</v>
      </c>
      <c r="B37" s="137"/>
      <c r="C37" s="138"/>
      <c r="D37" s="135">
        <f>'Pryse + Sensatiwiteitsanalise'!B6</f>
        <v>8345</v>
      </c>
      <c r="E37" s="135">
        <f>$D$37</f>
        <v>8345</v>
      </c>
      <c r="F37" s="135">
        <f>$D$37</f>
        <v>8345</v>
      </c>
      <c r="G37" s="135">
        <f>$D$37</f>
        <v>8345</v>
      </c>
    </row>
    <row r="38" spans="1:8" ht="15" thickBot="1" x14ac:dyDescent="0.35">
      <c r="D38" s="139"/>
      <c r="E38" s="139"/>
      <c r="F38" s="139"/>
      <c r="G38" s="139"/>
    </row>
    <row r="39" spans="1:8" s="133" customFormat="1" x14ac:dyDescent="0.3">
      <c r="A39" s="280" t="s">
        <v>62</v>
      </c>
      <c r="B39" s="281"/>
      <c r="C39" s="281"/>
      <c r="D39" s="85">
        <f t="shared" ref="D39:G39" si="3">D6-D26</f>
        <v>-2777.2345833073377</v>
      </c>
      <c r="E39" s="86">
        <f t="shared" si="3"/>
        <v>124.25837694729853</v>
      </c>
      <c r="F39" s="85">
        <f t="shared" si="3"/>
        <v>1888.3754472185938</v>
      </c>
      <c r="G39" s="86">
        <f t="shared" si="3"/>
        <v>3059.6203681225325</v>
      </c>
    </row>
    <row r="40" spans="1:8" s="133" customFormat="1" ht="15" thickBot="1" x14ac:dyDescent="0.35">
      <c r="A40" s="331" t="s">
        <v>63</v>
      </c>
      <c r="B40" s="333"/>
      <c r="C40" s="333"/>
      <c r="D40" s="181">
        <f t="shared" ref="D40:G40" si="4">D6-D30</f>
        <v>-7003.904433307338</v>
      </c>
      <c r="E40" s="187">
        <f t="shared" si="4"/>
        <v>-4102.4114730527035</v>
      </c>
      <c r="F40" s="181">
        <f t="shared" si="4"/>
        <v>-2338.2944027814083</v>
      </c>
      <c r="G40" s="187">
        <f t="shared" si="4"/>
        <v>-1167.0494818774678</v>
      </c>
    </row>
    <row r="41" spans="1:8" x14ac:dyDescent="0.3">
      <c r="A41" s="163" t="s">
        <v>131</v>
      </c>
      <c r="B41" s="164"/>
      <c r="C41" s="164"/>
      <c r="D41" s="164"/>
      <c r="E41" s="164"/>
      <c r="F41" s="164"/>
      <c r="G41" s="178"/>
      <c r="H41" s="142"/>
    </row>
    <row r="42" spans="1:8" x14ac:dyDescent="0.3">
      <c r="A42" s="165" t="s">
        <v>64</v>
      </c>
      <c r="B42" s="166"/>
      <c r="C42" s="166"/>
      <c r="D42" s="166"/>
      <c r="E42" s="166"/>
      <c r="F42" s="166"/>
      <c r="G42" s="179"/>
      <c r="H42" s="142"/>
    </row>
    <row r="43" spans="1:8" ht="15" thickBot="1" x14ac:dyDescent="0.35">
      <c r="A43" s="167" t="s">
        <v>65</v>
      </c>
      <c r="B43" s="168"/>
      <c r="C43" s="168"/>
      <c r="D43" s="168"/>
      <c r="E43" s="168"/>
      <c r="F43" s="168"/>
      <c r="G43" s="180"/>
      <c r="H43" s="142"/>
    </row>
    <row r="44" spans="1:8" x14ac:dyDescent="0.3">
      <c r="A44" s="337" t="s">
        <v>77</v>
      </c>
      <c r="B44" s="338"/>
      <c r="C44" s="338"/>
      <c r="D44" s="338"/>
      <c r="E44" s="338"/>
      <c r="F44" s="338"/>
      <c r="G44" s="339"/>
      <c r="H44" s="189"/>
    </row>
    <row r="45" spans="1:8" x14ac:dyDescent="0.3">
      <c r="A45" s="340"/>
      <c r="B45" s="341"/>
      <c r="C45" s="341"/>
      <c r="D45" s="341"/>
      <c r="E45" s="341"/>
      <c r="F45" s="341"/>
      <c r="G45" s="342"/>
      <c r="H45" s="189"/>
    </row>
    <row r="46" spans="1:8" x14ac:dyDescent="0.3">
      <c r="A46" s="340"/>
      <c r="B46" s="341"/>
      <c r="C46" s="341"/>
      <c r="D46" s="341"/>
      <c r="E46" s="341"/>
      <c r="F46" s="341"/>
      <c r="G46" s="342"/>
      <c r="H46" s="189"/>
    </row>
    <row r="47" spans="1:8" ht="15" thickBot="1" x14ac:dyDescent="0.35">
      <c r="A47" s="343"/>
      <c r="B47" s="344"/>
      <c r="C47" s="344"/>
      <c r="D47" s="344"/>
      <c r="E47" s="344"/>
      <c r="F47" s="344"/>
      <c r="G47" s="345"/>
      <c r="H47" s="189"/>
    </row>
  </sheetData>
  <mergeCells count="13">
    <mergeCell ref="A44:G47"/>
    <mergeCell ref="A39:C39"/>
    <mergeCell ref="A40:C40"/>
    <mergeCell ref="I7:K7"/>
    <mergeCell ref="A1:D1"/>
    <mergeCell ref="E1:G1"/>
    <mergeCell ref="A32:C32"/>
    <mergeCell ref="A36:C36"/>
    <mergeCell ref="A30:C30"/>
    <mergeCell ref="A3:C3"/>
    <mergeCell ref="A8:C8"/>
    <mergeCell ref="A26:C26"/>
    <mergeCell ref="A28:C28"/>
  </mergeCells>
  <conditionalFormatting sqref="D39:G40">
    <cfRule type="colorScale" priority="52">
      <colorScale>
        <cfvo type="min"/>
        <cfvo type="percentile" val="50"/>
        <cfvo type="max"/>
        <color rgb="FFF8696B"/>
        <color rgb="FFFFEB84"/>
        <color rgb="FF63BE7B"/>
      </colorScale>
    </cfRule>
    <cfRule type="colorScale" priority="53">
      <colorScale>
        <cfvo type="min"/>
        <cfvo type="percentile" val="50"/>
        <cfvo type="max"/>
        <color rgb="FFF8696B"/>
        <color rgb="FFFFEB84"/>
        <color rgb="FF63BE7B"/>
      </colorScale>
    </cfRule>
    <cfRule type="colorScale" priority="54">
      <colorScale>
        <cfvo type="min"/>
        <cfvo type="percentile" val="50"/>
        <cfvo type="max"/>
        <color rgb="FFF8696B"/>
        <color rgb="FFFFEB84"/>
        <color rgb="FF63BE7B"/>
      </colorScale>
    </cfRule>
  </conditionalFormatting>
  <pageMargins left="0.31496062992125984" right="0.31496062992125984" top="0.55118110236220474" bottom="0.55118110236220474" header="0.31496062992125984" footer="0.31496062992125984"/>
  <pageSetup paperSize="9" scale="74" fitToHeight="0" orientation="portrait" horizontalDpi="300" verticalDpi="300" r:id="rId1"/>
  <headerFooter>
    <oddHeader>&amp;F</oddHeader>
    <oddFooter>&amp;A&amp;RPage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86"/>
  <sheetViews>
    <sheetView zoomScale="80" zoomScaleNormal="80" workbookViewId="0">
      <selection activeCell="I23" sqref="I23"/>
    </sheetView>
  </sheetViews>
  <sheetFormatPr defaultColWidth="9.109375" defaultRowHeight="14.4" x14ac:dyDescent="0.3"/>
  <cols>
    <col min="1" max="1" width="91" style="222" bestFit="1" customWidth="1"/>
    <col min="2" max="2" width="18.77734375" style="222" customWidth="1"/>
    <col min="3" max="3" width="16" style="222" bestFit="1" customWidth="1"/>
    <col min="4" max="4" width="12.88671875" style="222" bestFit="1" customWidth="1"/>
    <col min="5" max="5" width="16" style="222" bestFit="1" customWidth="1"/>
    <col min="6" max="6" width="17.77734375" style="222" customWidth="1"/>
    <col min="7" max="7" width="9.109375" style="222" customWidth="1"/>
    <col min="8" max="8" width="10.88671875" style="222" bestFit="1" customWidth="1"/>
    <col min="9" max="9" width="57.88671875" style="222" bestFit="1" customWidth="1"/>
    <col min="10" max="10" width="9.21875" style="222" bestFit="1" customWidth="1"/>
    <col min="11" max="16384" width="9.109375" style="222"/>
  </cols>
  <sheetData>
    <row r="1" spans="1:11" x14ac:dyDescent="0.3">
      <c r="A1" s="190" t="s">
        <v>135</v>
      </c>
      <c r="B1" s="224" t="s">
        <v>78</v>
      </c>
      <c r="C1" s="224" t="s">
        <v>79</v>
      </c>
      <c r="D1" s="224" t="s">
        <v>80</v>
      </c>
      <c r="E1" s="224" t="s">
        <v>81</v>
      </c>
      <c r="F1" s="225"/>
    </row>
    <row r="2" spans="1:11" x14ac:dyDescent="0.3">
      <c r="A2" s="191" t="s">
        <v>82</v>
      </c>
      <c r="B2" s="192" t="str">
        <f>'[4]Rent calculations'!B2</f>
        <v>Maize (conven)</v>
      </c>
      <c r="C2" s="192" t="str">
        <f>'[4]Rent calculations'!C2</f>
        <v>Maize (Bt)</v>
      </c>
      <c r="D2" s="192" t="str">
        <f>'[4]Rent calculations'!D2</f>
        <v>Sunflower</v>
      </c>
      <c r="E2" s="192" t="str">
        <f>'[4]Rent calculations'!E2</f>
        <v>Soy bean</v>
      </c>
      <c r="F2" s="192" t="str">
        <f>'[4]Rent calculations'!F2</f>
        <v>Irr-Maize</v>
      </c>
      <c r="I2" s="222" t="s">
        <v>137</v>
      </c>
    </row>
    <row r="3" spans="1:11" x14ac:dyDescent="0.3">
      <c r="A3" s="193" t="s">
        <v>83</v>
      </c>
      <c r="B3" s="194"/>
      <c r="C3" s="195"/>
      <c r="D3" s="195"/>
      <c r="E3" s="195"/>
      <c r="F3" s="195"/>
      <c r="I3" s="226" t="s">
        <v>84</v>
      </c>
      <c r="J3" s="227">
        <v>6.2</v>
      </c>
    </row>
    <row r="4" spans="1:11" x14ac:dyDescent="0.3">
      <c r="A4" s="209" t="s">
        <v>85</v>
      </c>
      <c r="B4" s="228">
        <f>J3</f>
        <v>6.2</v>
      </c>
      <c r="C4" s="228">
        <f>J3</f>
        <v>6.2</v>
      </c>
      <c r="D4" s="228">
        <f>J5</f>
        <v>1.4279999999999999</v>
      </c>
      <c r="E4" s="228">
        <f>J4</f>
        <v>2.0329999999999999</v>
      </c>
      <c r="F4" s="228">
        <f>'Bes-mielies'!C5</f>
        <v>8</v>
      </c>
      <c r="I4" s="226" t="s">
        <v>86</v>
      </c>
      <c r="J4" s="227">
        <v>2.0329999999999999</v>
      </c>
    </row>
    <row r="5" spans="1:11" s="197" customFormat="1" x14ac:dyDescent="0.3">
      <c r="A5" s="209" t="s">
        <v>87</v>
      </c>
      <c r="B5" s="229">
        <f>'Pryse + Sensatiwiteitsanalise'!B4</f>
        <v>4312</v>
      </c>
      <c r="C5" s="230">
        <f>B5</f>
        <v>4312</v>
      </c>
      <c r="D5" s="230">
        <f>'Pryse + Sensatiwiteitsanalise'!B5</f>
        <v>10000</v>
      </c>
      <c r="E5" s="230">
        <f>'Pryse + Sensatiwiteitsanalise'!B6</f>
        <v>8345</v>
      </c>
      <c r="F5" s="230">
        <f>B5</f>
        <v>4312</v>
      </c>
      <c r="I5" s="226" t="s">
        <v>88</v>
      </c>
      <c r="J5" s="227">
        <v>1.4279999999999999</v>
      </c>
    </row>
    <row r="6" spans="1:11" s="197" customFormat="1" x14ac:dyDescent="0.3">
      <c r="A6" s="209" t="s">
        <v>89</v>
      </c>
      <c r="B6" s="229">
        <f>'Pryse + Sensatiwiteitsanalise'!D4</f>
        <v>406.25</v>
      </c>
      <c r="C6" s="230">
        <f>B6</f>
        <v>406.25</v>
      </c>
      <c r="D6" s="230">
        <f>'Pryse + Sensatiwiteitsanalise'!D5</f>
        <v>477.52</v>
      </c>
      <c r="E6" s="230">
        <f>'Pryse + Sensatiwiteitsanalise'!D6</f>
        <v>106.17</v>
      </c>
      <c r="F6" s="230">
        <f>B6</f>
        <v>406.25</v>
      </c>
    </row>
    <row r="7" spans="1:11" s="197" customFormat="1" ht="15" thickBot="1" x14ac:dyDescent="0.35">
      <c r="A7" s="209" t="s">
        <v>90</v>
      </c>
      <c r="B7" s="231">
        <f>B5-B6</f>
        <v>3905.75</v>
      </c>
      <c r="C7" s="232">
        <f>C5-C6</f>
        <v>3905.75</v>
      </c>
      <c r="D7" s="232">
        <f>D5-D6</f>
        <v>9522.48</v>
      </c>
      <c r="E7" s="232">
        <f>E5-E6</f>
        <v>8238.83</v>
      </c>
      <c r="F7" s="232">
        <f>F5-F6</f>
        <v>3905.75</v>
      </c>
    </row>
    <row r="8" spans="1:11" ht="15" thickTop="1" x14ac:dyDescent="0.3">
      <c r="A8" s="190" t="s">
        <v>91</v>
      </c>
      <c r="B8" s="196">
        <f>B4*B7</f>
        <v>24215.65</v>
      </c>
      <c r="C8" s="196">
        <f>C4*C7</f>
        <v>24215.65</v>
      </c>
      <c r="D8" s="196">
        <f t="shared" ref="D8:F8" si="0">D4*D7</f>
        <v>13598.101439999999</v>
      </c>
      <c r="E8" s="196">
        <f t="shared" si="0"/>
        <v>16749.541389999999</v>
      </c>
      <c r="F8" s="196">
        <f t="shared" si="0"/>
        <v>31246</v>
      </c>
      <c r="I8" s="197" t="s">
        <v>92</v>
      </c>
    </row>
    <row r="9" spans="1:11" x14ac:dyDescent="0.3">
      <c r="A9" s="209"/>
      <c r="B9" s="198"/>
      <c r="C9" s="198"/>
      <c r="D9" s="198"/>
      <c r="E9" s="198"/>
      <c r="F9" s="198"/>
      <c r="I9" s="350" t="s">
        <v>93</v>
      </c>
      <c r="J9" s="233"/>
      <c r="K9" s="233"/>
    </row>
    <row r="10" spans="1:11" x14ac:dyDescent="0.3">
      <c r="A10" s="193" t="s">
        <v>94</v>
      </c>
      <c r="B10" s="199"/>
      <c r="C10" s="199"/>
      <c r="D10" s="199"/>
      <c r="E10" s="199"/>
      <c r="F10" s="199"/>
    </row>
    <row r="11" spans="1:11" x14ac:dyDescent="0.3">
      <c r="A11" s="234" t="str">
        <f>'W-Mielie '!A9</f>
        <v>Saad / Seed</v>
      </c>
      <c r="B11" s="205">
        <f>'W-Mielie '!I9</f>
        <v>1806.7071149999999</v>
      </c>
      <c r="C11" s="206">
        <f>'W-BT Mielies'!H9</f>
        <v>2728.4378557499995</v>
      </c>
      <c r="D11" s="206">
        <f>Sonneblom!E9</f>
        <v>743.2904166666666</v>
      </c>
      <c r="E11" s="206">
        <f>Sojabone!G9</f>
        <v>2269.8022799999999</v>
      </c>
      <c r="F11" s="206">
        <f>'Bes-mielies'!C9</f>
        <v>4242.5625</v>
      </c>
    </row>
    <row r="12" spans="1:11" x14ac:dyDescent="0.3">
      <c r="A12" s="234" t="str">
        <f>'W-Mielie '!A10</f>
        <v>Kunsmis / Fertiliser</v>
      </c>
      <c r="B12" s="205">
        <f>'W-Mielie '!I10</f>
        <v>8099.62</v>
      </c>
      <c r="C12" s="206">
        <f>'W-BT Mielies'!H10</f>
        <v>8099.62</v>
      </c>
      <c r="D12" s="206">
        <f>Sonneblom!E10</f>
        <v>1645.3875</v>
      </c>
      <c r="E12" s="206">
        <f>Sojabone!G10</f>
        <v>2783.4800000000005</v>
      </c>
      <c r="F12" s="206">
        <f>'Bes-mielies'!C10</f>
        <v>11396.240000000002</v>
      </c>
    </row>
    <row r="13" spans="1:11" x14ac:dyDescent="0.3">
      <c r="A13" s="234" t="str">
        <f>'W-Mielie '!A11</f>
        <v>Kalk / Lime</v>
      </c>
      <c r="B13" s="205">
        <f>'W-Mielie '!I11</f>
        <v>800</v>
      </c>
      <c r="C13" s="206">
        <f>'W-BT Mielies'!H11</f>
        <v>800</v>
      </c>
      <c r="D13" s="206">
        <f>Sonneblom!E11</f>
        <v>800</v>
      </c>
      <c r="E13" s="206">
        <f>Sojabone!G11</f>
        <v>800</v>
      </c>
      <c r="F13" s="206">
        <f>'Bes-mielies'!C11</f>
        <v>800</v>
      </c>
    </row>
    <row r="14" spans="1:11" x14ac:dyDescent="0.3">
      <c r="A14" s="234" t="str">
        <f>'W-Mielie '!A12</f>
        <v>Brandstof / Fuel</v>
      </c>
      <c r="B14" s="205">
        <f>'W-Mielie '!I12</f>
        <v>1942.040544</v>
      </c>
      <c r="C14" s="206">
        <f>'W-BT Mielies'!H12</f>
        <v>1942.040544</v>
      </c>
      <c r="D14" s="206">
        <f>Sonneblom!E12</f>
        <v>1546.6611439999999</v>
      </c>
      <c r="E14" s="206">
        <f>Sojabone!G12</f>
        <v>1637.6065440000002</v>
      </c>
      <c r="F14" s="206">
        <f>'Bes-mielies'!C12</f>
        <v>1981.0705440000002</v>
      </c>
    </row>
    <row r="15" spans="1:11" x14ac:dyDescent="0.3">
      <c r="A15" s="234" t="str">
        <f>'W-Mielie '!A13</f>
        <v>Reparasie / Reparation</v>
      </c>
      <c r="B15" s="205">
        <f>'W-Mielie '!I13</f>
        <v>1362.7754</v>
      </c>
      <c r="C15" s="206">
        <f>'W-BT Mielies'!H13</f>
        <v>1362.7754</v>
      </c>
      <c r="D15" s="206">
        <f>Sonneblom!E13</f>
        <v>1219.7570666666666</v>
      </c>
      <c r="E15" s="206">
        <f>Sojabone!G13</f>
        <v>1195.2570666666666</v>
      </c>
      <c r="F15" s="206">
        <f>'Bes-mielies'!C13</f>
        <v>1381.7887333333333</v>
      </c>
    </row>
    <row r="16" spans="1:11" x14ac:dyDescent="0.3">
      <c r="A16" s="234" t="str">
        <f>'W-Mielie '!A14</f>
        <v>Onkruiddoders / Herbicide</v>
      </c>
      <c r="B16" s="205">
        <f>'W-Mielie '!I14</f>
        <v>1108.23</v>
      </c>
      <c r="C16" s="206">
        <f>'W-BT Mielies'!H14</f>
        <v>1108.23</v>
      </c>
      <c r="D16" s="206">
        <f>Sonneblom!E14</f>
        <v>1011.33</v>
      </c>
      <c r="E16" s="206">
        <f>Sojabone!G14</f>
        <v>590.58000000000004</v>
      </c>
      <c r="F16" s="206">
        <f>'Bes-mielies'!C14</f>
        <v>1108.23</v>
      </c>
    </row>
    <row r="17" spans="1:12" x14ac:dyDescent="0.3">
      <c r="A17" s="234" t="str">
        <f>'W-Mielie '!A15</f>
        <v>Plaagdoder / Pesticides</v>
      </c>
      <c r="B17" s="205">
        <f>'W-Mielie '!I15</f>
        <v>333.54</v>
      </c>
      <c r="C17" s="206">
        <f>'W-BT Mielies'!H15</f>
        <v>333.54</v>
      </c>
      <c r="D17" s="206">
        <f>Sonneblom!E15</f>
        <v>436.72360800000007</v>
      </c>
      <c r="E17" s="206">
        <f>Sojabone!G15</f>
        <v>862.41</v>
      </c>
      <c r="F17" s="206">
        <f>'Bes-mielies'!C15</f>
        <v>333.54</v>
      </c>
    </row>
    <row r="18" spans="1:12" x14ac:dyDescent="0.3">
      <c r="A18" s="234" t="str">
        <f>'W-Mielie '!A16</f>
        <v>Insetversekering / Input insurance</v>
      </c>
      <c r="B18" s="205"/>
      <c r="C18" s="206"/>
      <c r="D18" s="206"/>
      <c r="E18" s="206"/>
      <c r="F18" s="206"/>
    </row>
    <row r="19" spans="1:12" x14ac:dyDescent="0.3">
      <c r="A19" s="234" t="str">
        <f>'W-Mielie '!A17</f>
        <v>Besproeiingskoste / Irrigation cost</v>
      </c>
      <c r="B19" s="205"/>
      <c r="C19" s="206"/>
      <c r="D19" s="206"/>
      <c r="E19" s="206"/>
      <c r="F19" s="206">
        <f>'Bes-mielies'!C17</f>
        <v>11848.4</v>
      </c>
    </row>
    <row r="20" spans="1:12" x14ac:dyDescent="0.3">
      <c r="A20" s="234" t="str">
        <f>'W-Mielie '!A18</f>
        <v>Graanprysverskansing / Grain hedging</v>
      </c>
      <c r="B20" s="205">
        <f>'W-Mielie '!I18</f>
        <v>1829.9587664970365</v>
      </c>
      <c r="C20" s="206">
        <f>'W-BT Mielies'!H18</f>
        <v>1935.2255960387758</v>
      </c>
      <c r="D20" s="206">
        <f>Sonneblom!E18</f>
        <v>354.36232968393392</v>
      </c>
      <c r="E20" s="206">
        <f>Sojabone!G18</f>
        <v>600.90326545906805</v>
      </c>
      <c r="F20" s="206">
        <f>'Bes-mielies'!C18</f>
        <v>3784.4575934198219</v>
      </c>
    </row>
    <row r="21" spans="1:12" x14ac:dyDescent="0.3">
      <c r="A21" s="234" t="str">
        <f>'W-Mielie '!A19</f>
        <v>Kontrakstroop / Contract Harvesting</v>
      </c>
      <c r="B21" s="205"/>
      <c r="C21" s="206"/>
      <c r="D21" s="206"/>
      <c r="E21" s="206"/>
      <c r="F21" s="206"/>
    </row>
    <row r="22" spans="1:12" x14ac:dyDescent="0.3">
      <c r="A22" s="234" t="str">
        <f>'W-Mielie '!A20</f>
        <v>Oesversekering / Harvest insurance</v>
      </c>
      <c r="B22" s="205">
        <f>'W-Mielie '!I20</f>
        <v>817.05750000000012</v>
      </c>
      <c r="C22" s="206">
        <f>'W-BT Mielies'!H20</f>
        <v>860.00512500000013</v>
      </c>
      <c r="D22" s="206">
        <f>Sonneblom!E20</f>
        <v>511.83329999999989</v>
      </c>
      <c r="E22" s="206">
        <f>Sojabone!G20</f>
        <v>1400.6011000000001</v>
      </c>
      <c r="F22" s="206">
        <f>'Bes-mielies'!C20</f>
        <v>1089.4100000000001</v>
      </c>
    </row>
    <row r="23" spans="1:12" x14ac:dyDescent="0.3">
      <c r="A23" s="234" t="str">
        <f>'W-Mielie '!A21</f>
        <v>Lugspuit / Aerial spray</v>
      </c>
      <c r="B23" s="205">
        <f>'W-Mielie '!I21</f>
        <v>200</v>
      </c>
      <c r="C23" s="206">
        <f>'W-BT Mielies'!H21</f>
        <v>200</v>
      </c>
      <c r="D23" s="206">
        <f>Sonneblom!E21</f>
        <v>200</v>
      </c>
      <c r="E23" s="206">
        <f>Sojabone!G21</f>
        <v>200</v>
      </c>
      <c r="F23" s="206">
        <f>'Bes-mielies'!C21</f>
        <v>200</v>
      </c>
    </row>
    <row r="24" spans="1:12" x14ac:dyDescent="0.3">
      <c r="A24" s="234" t="str">
        <f>'W-Mielie '!A22</f>
        <v>Losarbeid / Casual labour</v>
      </c>
      <c r="B24" s="205">
        <f>'W-Mielie '!I22</f>
        <v>300</v>
      </c>
      <c r="C24" s="206">
        <f>'W-BT Mielies'!H22</f>
        <v>300</v>
      </c>
      <c r="D24" s="206">
        <f>Sonneblom!E22</f>
        <v>300</v>
      </c>
      <c r="E24" s="206">
        <f>Sojabone!G22</f>
        <v>300</v>
      </c>
      <c r="F24" s="206">
        <f>'Bes-mielies'!C22</f>
        <v>300</v>
      </c>
    </row>
    <row r="25" spans="1:12" x14ac:dyDescent="0.3">
      <c r="A25" s="234" t="str">
        <f>'W-Mielie '!A23</f>
        <v>Droogkoste / Drying cost</v>
      </c>
      <c r="B25" s="205"/>
      <c r="C25" s="206"/>
      <c r="D25" s="206"/>
      <c r="E25" s="206"/>
      <c r="F25" s="206"/>
    </row>
    <row r="26" spans="1:12" x14ac:dyDescent="0.3">
      <c r="A26" s="234" t="str">
        <f>'W-Mielie '!A24</f>
        <v>Verpakking en Pakmateriaal / Packaging and packaging material</v>
      </c>
      <c r="B26" s="205"/>
      <c r="C26" s="206"/>
      <c r="D26" s="206"/>
      <c r="E26" s="206"/>
      <c r="F26" s="206"/>
    </row>
    <row r="27" spans="1:12" x14ac:dyDescent="0.3">
      <c r="A27" s="234" t="str">
        <f>'W-Mielie '!A25</f>
        <v>Produksiekrediet rente / Interest on production R/ha</v>
      </c>
      <c r="B27" s="205">
        <f>'W-Mielie '!I25</f>
        <v>1715.8434802771017</v>
      </c>
      <c r="C27" s="206">
        <f>'W-BT Mielies'!H25</f>
        <v>1814.5459245427649</v>
      </c>
      <c r="D27" s="206">
        <f>Sonneblom!E25</f>
        <v>539.31473994856196</v>
      </c>
      <c r="E27" s="206">
        <f>Sojabone!G25</f>
        <v>777.3993757517328</v>
      </c>
      <c r="F27" s="206">
        <f>'Bes-mielies'!C25</f>
        <v>2365.6405113013193</v>
      </c>
    </row>
    <row r="28" spans="1:12" x14ac:dyDescent="0.3">
      <c r="A28" s="200" t="s">
        <v>95</v>
      </c>
      <c r="B28" s="201">
        <f>SUM(B11:B27)</f>
        <v>20315.772805774137</v>
      </c>
      <c r="C28" s="202">
        <f>SUM(C11:C27)</f>
        <v>21484.420445331543</v>
      </c>
      <c r="D28" s="202">
        <f>SUM(D11:D27)</f>
        <v>9308.6601049658293</v>
      </c>
      <c r="E28" s="202">
        <f>SUM(E11:E27)</f>
        <v>13418.039631877467</v>
      </c>
      <c r="F28" s="202">
        <f>SUM(F11:F27)</f>
        <v>40831.339882054475</v>
      </c>
    </row>
    <row r="29" spans="1:12" ht="15" thickBot="1" x14ac:dyDescent="0.35">
      <c r="A29" s="190"/>
      <c r="B29" s="203"/>
      <c r="C29" s="204"/>
      <c r="D29" s="204"/>
      <c r="E29" s="204"/>
      <c r="F29" s="204"/>
    </row>
    <row r="30" spans="1:12" ht="15" thickTop="1" x14ac:dyDescent="0.3">
      <c r="A30" s="200" t="s">
        <v>96</v>
      </c>
      <c r="B30" s="201">
        <f>'W-Mielie '!I28</f>
        <v>7499.1823569000007</v>
      </c>
      <c r="C30" s="202">
        <f>'W-BT Mielies'!C28</f>
        <v>6856.4322200999995</v>
      </c>
      <c r="D30" s="202">
        <f>Sonneblom!D28</f>
        <v>5786.3480645999998</v>
      </c>
      <c r="E30" s="202">
        <f>Sojabone!D28</f>
        <v>4226.6698500000002</v>
      </c>
      <c r="F30" s="202">
        <f>'Bes-mielies'!C28</f>
        <v>6807.9428100000005</v>
      </c>
      <c r="H30" s="235"/>
      <c r="I30" s="235"/>
      <c r="J30" s="235"/>
      <c r="K30" s="235"/>
      <c r="L30" s="235"/>
    </row>
    <row r="31" spans="1:12" x14ac:dyDescent="0.3">
      <c r="A31" s="190"/>
      <c r="B31" s="205"/>
      <c r="C31" s="206"/>
      <c r="D31" s="206"/>
      <c r="E31" s="206"/>
      <c r="F31" s="206"/>
    </row>
    <row r="32" spans="1:12" ht="15" thickBot="1" x14ac:dyDescent="0.35">
      <c r="A32" s="200" t="s">
        <v>97</v>
      </c>
      <c r="B32" s="207">
        <f>B28+B30</f>
        <v>27814.955162674138</v>
      </c>
      <c r="C32" s="208">
        <f>C28+C30</f>
        <v>28340.852665431543</v>
      </c>
      <c r="D32" s="208">
        <f>D28+D30</f>
        <v>15095.00816956583</v>
      </c>
      <c r="E32" s="208">
        <f>E28+E30</f>
        <v>17644.709481877468</v>
      </c>
      <c r="F32" s="208">
        <f>F28+F30</f>
        <v>47639.282692054476</v>
      </c>
    </row>
    <row r="33" spans="1:6" ht="15.6" thickTop="1" thickBot="1" x14ac:dyDescent="0.35">
      <c r="A33" s="209"/>
      <c r="B33" s="203"/>
      <c r="C33" s="204"/>
      <c r="D33" s="204"/>
      <c r="E33" s="204"/>
      <c r="F33" s="204"/>
    </row>
    <row r="34" spans="1:6" ht="15" thickTop="1" x14ac:dyDescent="0.3">
      <c r="A34" s="210" t="s">
        <v>98</v>
      </c>
      <c r="B34" s="211">
        <f>B8-B28</f>
        <v>3899.8771942258645</v>
      </c>
      <c r="C34" s="212">
        <f>C8-C28</f>
        <v>2731.2295546684581</v>
      </c>
      <c r="D34" s="212">
        <f>D8-D28</f>
        <v>4289.4413350341692</v>
      </c>
      <c r="E34" s="212">
        <f>E8-E28</f>
        <v>3331.5017581225311</v>
      </c>
      <c r="F34" s="212">
        <f>F8-F28</f>
        <v>-9585.3398820544753</v>
      </c>
    </row>
    <row r="35" spans="1:6" x14ac:dyDescent="0.3">
      <c r="A35" s="190" t="s">
        <v>99</v>
      </c>
      <c r="B35" s="213">
        <f>B8-B32</f>
        <v>-3599.3051626741362</v>
      </c>
      <c r="C35" s="214">
        <f>C8-C32</f>
        <v>-4125.2026654315414</v>
      </c>
      <c r="D35" s="214">
        <f>D8-D32</f>
        <v>-1496.9067295658315</v>
      </c>
      <c r="E35" s="214">
        <f>E8-E32</f>
        <v>-895.16809187746912</v>
      </c>
      <c r="F35" s="212">
        <f>F8-F32</f>
        <v>-16393.282692054476</v>
      </c>
    </row>
    <row r="36" spans="1:6" ht="15" thickBot="1" x14ac:dyDescent="0.35">
      <c r="A36" s="190"/>
      <c r="B36" s="215"/>
      <c r="C36" s="215"/>
      <c r="D36" s="215"/>
      <c r="E36" s="215"/>
      <c r="F36" s="215"/>
    </row>
    <row r="37" spans="1:6" ht="54" customHeight="1" thickBot="1" x14ac:dyDescent="0.35">
      <c r="A37" s="346" t="s">
        <v>136</v>
      </c>
      <c r="B37" s="347"/>
      <c r="C37" s="347"/>
      <c r="D37" s="347"/>
      <c r="E37" s="347"/>
      <c r="F37" s="348"/>
    </row>
    <row r="38" spans="1:6" ht="9.75" customHeight="1" x14ac:dyDescent="0.3">
      <c r="A38" s="236"/>
      <c r="B38" s="236"/>
      <c r="C38" s="236"/>
      <c r="D38" s="236"/>
      <c r="E38" s="236"/>
      <c r="F38" s="237"/>
    </row>
    <row r="39" spans="1:6" x14ac:dyDescent="0.3">
      <c r="A39" s="238"/>
      <c r="B39" s="238"/>
      <c r="C39" s="238"/>
      <c r="D39" s="238"/>
      <c r="E39" s="238"/>
      <c r="F39" s="238"/>
    </row>
    <row r="40" spans="1:6" x14ac:dyDescent="0.3">
      <c r="A40" s="238"/>
      <c r="B40" s="238"/>
      <c r="C40" s="238"/>
      <c r="D40" s="238"/>
      <c r="E40" s="238"/>
      <c r="F40" s="238"/>
    </row>
    <row r="41" spans="1:6" x14ac:dyDescent="0.3">
      <c r="A41" s="238"/>
      <c r="B41" s="238"/>
      <c r="C41" s="238"/>
      <c r="D41" s="238"/>
      <c r="E41" s="238"/>
      <c r="F41" s="238"/>
    </row>
    <row r="42" spans="1:6" x14ac:dyDescent="0.3">
      <c r="A42" s="238"/>
      <c r="B42" s="238"/>
      <c r="C42" s="238"/>
      <c r="D42" s="238"/>
      <c r="E42" s="238"/>
      <c r="F42" s="238"/>
    </row>
    <row r="43" spans="1:6" x14ac:dyDescent="0.3">
      <c r="A43" s="238"/>
      <c r="B43" s="238"/>
      <c r="C43" s="238"/>
      <c r="D43" s="238"/>
      <c r="E43" s="238"/>
      <c r="F43" s="238"/>
    </row>
    <row r="44" spans="1:6" x14ac:dyDescent="0.3">
      <c r="A44" s="238"/>
      <c r="B44" s="238"/>
      <c r="C44" s="238"/>
      <c r="D44" s="238"/>
      <c r="E44" s="238"/>
      <c r="F44" s="238"/>
    </row>
    <row r="45" spans="1:6" x14ac:dyDescent="0.3">
      <c r="A45" s="238"/>
      <c r="B45" s="238"/>
      <c r="C45" s="238"/>
      <c r="D45" s="238"/>
      <c r="E45" s="238"/>
      <c r="F45" s="238"/>
    </row>
    <row r="46" spans="1:6" x14ac:dyDescent="0.3">
      <c r="A46" s="238"/>
      <c r="B46" s="238"/>
      <c r="C46" s="238"/>
      <c r="D46" s="238"/>
      <c r="E46" s="238"/>
      <c r="F46" s="238"/>
    </row>
    <row r="47" spans="1:6" x14ac:dyDescent="0.3">
      <c r="A47" s="238"/>
      <c r="B47" s="238"/>
      <c r="C47" s="238"/>
      <c r="D47" s="238"/>
      <c r="E47" s="238"/>
      <c r="F47" s="238"/>
    </row>
    <row r="48" spans="1:6" x14ac:dyDescent="0.3">
      <c r="A48" s="238"/>
      <c r="B48" s="238"/>
      <c r="C48" s="238"/>
      <c r="D48" s="238"/>
      <c r="E48" s="238"/>
      <c r="F48" s="238"/>
    </row>
    <row r="49" spans="1:6" x14ac:dyDescent="0.3">
      <c r="A49" s="238"/>
      <c r="B49" s="238"/>
      <c r="C49" s="238"/>
      <c r="D49" s="238"/>
      <c r="E49" s="238"/>
      <c r="F49" s="238"/>
    </row>
    <row r="50" spans="1:6" x14ac:dyDescent="0.3">
      <c r="A50" s="238"/>
      <c r="B50" s="238"/>
      <c r="C50" s="238"/>
      <c r="D50" s="238"/>
      <c r="E50" s="238"/>
      <c r="F50" s="238"/>
    </row>
    <row r="51" spans="1:6" x14ac:dyDescent="0.3">
      <c r="A51" s="238"/>
      <c r="B51" s="238"/>
      <c r="C51" s="238"/>
      <c r="D51" s="238"/>
      <c r="E51" s="238"/>
      <c r="F51" s="238"/>
    </row>
    <row r="52" spans="1:6" x14ac:dyDescent="0.3">
      <c r="A52" s="238"/>
      <c r="B52" s="238"/>
      <c r="C52" s="238"/>
      <c r="D52" s="238"/>
      <c r="E52" s="238"/>
      <c r="F52" s="238"/>
    </row>
    <row r="53" spans="1:6" x14ac:dyDescent="0.3">
      <c r="A53" s="238"/>
      <c r="B53" s="238"/>
      <c r="C53" s="238"/>
      <c r="D53" s="238"/>
      <c r="E53" s="238"/>
      <c r="F53" s="238"/>
    </row>
    <row r="54" spans="1:6" x14ac:dyDescent="0.3">
      <c r="A54" s="238"/>
      <c r="B54" s="238"/>
      <c r="C54" s="238"/>
      <c r="D54" s="238"/>
      <c r="E54" s="238"/>
      <c r="F54" s="238"/>
    </row>
    <row r="55" spans="1:6" x14ac:dyDescent="0.3">
      <c r="A55" s="238"/>
      <c r="B55" s="238"/>
      <c r="C55" s="238"/>
      <c r="D55" s="238"/>
      <c r="E55" s="238"/>
      <c r="F55" s="238"/>
    </row>
    <row r="56" spans="1:6" x14ac:dyDescent="0.3">
      <c r="A56" s="238"/>
      <c r="B56" s="238"/>
      <c r="C56" s="238"/>
      <c r="D56" s="238"/>
      <c r="E56" s="238"/>
      <c r="F56" s="238"/>
    </row>
    <row r="57" spans="1:6" x14ac:dyDescent="0.3">
      <c r="A57" s="238"/>
      <c r="B57" s="238"/>
      <c r="C57" s="238"/>
      <c r="D57" s="238"/>
      <c r="E57" s="238"/>
      <c r="F57" s="238"/>
    </row>
    <row r="58" spans="1:6" x14ac:dyDescent="0.3">
      <c r="A58" s="216" t="s">
        <v>100</v>
      </c>
      <c r="B58" s="239"/>
      <c r="C58" s="239"/>
      <c r="D58" s="239"/>
      <c r="E58" s="239"/>
      <c r="F58" s="239"/>
    </row>
    <row r="59" spans="1:6" ht="27" customHeight="1" thickBot="1" x14ac:dyDescent="0.35">
      <c r="A59" s="217"/>
      <c r="B59" s="218" t="str">
        <f>B2</f>
        <v>Maize (conven)</v>
      </c>
      <c r="C59" s="218" t="str">
        <f>C2</f>
        <v>Maize (Bt)</v>
      </c>
      <c r="D59" s="218" t="str">
        <f>D2</f>
        <v>Sunflower</v>
      </c>
      <c r="E59" s="218" t="str">
        <f>E2</f>
        <v>Soy bean</v>
      </c>
      <c r="F59" s="218" t="str">
        <f>F2</f>
        <v>Irr-Maize</v>
      </c>
    </row>
    <row r="60" spans="1:6" x14ac:dyDescent="0.3">
      <c r="A60" s="240" t="s">
        <v>87</v>
      </c>
      <c r="B60" s="241">
        <f>B5</f>
        <v>4312</v>
      </c>
      <c r="C60" s="241">
        <f>C5</f>
        <v>4312</v>
      </c>
      <c r="D60" s="241">
        <f>D5</f>
        <v>10000</v>
      </c>
      <c r="E60" s="241">
        <f>E5</f>
        <v>8345</v>
      </c>
      <c r="F60" s="242">
        <f>F5</f>
        <v>4312</v>
      </c>
    </row>
    <row r="61" spans="1:6" x14ac:dyDescent="0.3">
      <c r="A61" s="243" t="s">
        <v>101</v>
      </c>
      <c r="B61" s="244">
        <f>B4</f>
        <v>6.2</v>
      </c>
      <c r="C61" s="244">
        <f>C4</f>
        <v>6.2</v>
      </c>
      <c r="D61" s="244">
        <f>D4</f>
        <v>1.4279999999999999</v>
      </c>
      <c r="E61" s="244">
        <f>E4</f>
        <v>2.0329999999999999</v>
      </c>
      <c r="F61" s="245">
        <f>F4</f>
        <v>8</v>
      </c>
    </row>
    <row r="62" spans="1:6" x14ac:dyDescent="0.3">
      <c r="A62" s="243"/>
      <c r="B62" s="244"/>
      <c r="C62" s="244"/>
      <c r="D62" s="244"/>
      <c r="E62" s="244"/>
      <c r="F62" s="245"/>
    </row>
    <row r="63" spans="1:6" x14ac:dyDescent="0.3">
      <c r="A63" s="219" t="s">
        <v>83</v>
      </c>
      <c r="B63" s="246"/>
      <c r="C63" s="246"/>
      <c r="D63" s="246"/>
      <c r="E63" s="246"/>
      <c r="F63" s="247"/>
    </row>
    <row r="64" spans="1:6" x14ac:dyDescent="0.3">
      <c r="A64" s="243" t="s">
        <v>102</v>
      </c>
      <c r="B64" s="248">
        <f>B7</f>
        <v>3905.75</v>
      </c>
      <c r="C64" s="248">
        <f>C7</f>
        <v>3905.75</v>
      </c>
      <c r="D64" s="248">
        <f>D7</f>
        <v>9522.48</v>
      </c>
      <c r="E64" s="248">
        <f>E7</f>
        <v>8238.83</v>
      </c>
      <c r="F64" s="249">
        <f>F7</f>
        <v>3905.75</v>
      </c>
    </row>
    <row r="65" spans="1:6" x14ac:dyDescent="0.3">
      <c r="A65" s="243" t="s">
        <v>103</v>
      </c>
      <c r="B65" s="248">
        <f>B64/B61</f>
        <v>629.95967741935488</v>
      </c>
      <c r="C65" s="248">
        <f>C64/C61</f>
        <v>629.95967741935488</v>
      </c>
      <c r="D65" s="248">
        <f>D64/D61</f>
        <v>6668.4033613445381</v>
      </c>
      <c r="E65" s="248">
        <f>E64/E61</f>
        <v>4052.5479586817514</v>
      </c>
      <c r="F65" s="249">
        <f>F64/F61</f>
        <v>488.21875</v>
      </c>
    </row>
    <row r="66" spans="1:6" x14ac:dyDescent="0.3">
      <c r="A66" s="243"/>
      <c r="B66" s="248"/>
      <c r="C66" s="248"/>
      <c r="D66" s="248"/>
      <c r="E66" s="248"/>
      <c r="F66" s="249"/>
    </row>
    <row r="67" spans="1:6" x14ac:dyDescent="0.3">
      <c r="A67" s="220" t="s">
        <v>104</v>
      </c>
      <c r="B67" s="246"/>
      <c r="C67" s="246"/>
      <c r="D67" s="246"/>
      <c r="E67" s="246"/>
      <c r="F67" s="247"/>
    </row>
    <row r="68" spans="1:6" x14ac:dyDescent="0.3">
      <c r="A68" s="250" t="s">
        <v>105</v>
      </c>
      <c r="B68" s="248">
        <f>B28</f>
        <v>20315.772805774137</v>
      </c>
      <c r="C68" s="248">
        <f>C28</f>
        <v>21484.420445331543</v>
      </c>
      <c r="D68" s="248">
        <f>D28</f>
        <v>9308.6601049658293</v>
      </c>
      <c r="E68" s="248">
        <f>E28</f>
        <v>13418.039631877467</v>
      </c>
      <c r="F68" s="249">
        <f>F28</f>
        <v>40831.339882054475</v>
      </c>
    </row>
    <row r="69" spans="1:6" x14ac:dyDescent="0.3">
      <c r="A69" s="250" t="s">
        <v>106</v>
      </c>
      <c r="B69" s="248">
        <f>B68/B61</f>
        <v>3276.737549318409</v>
      </c>
      <c r="C69" s="248">
        <f>C68/C61</f>
        <v>3465.2291040857326</v>
      </c>
      <c r="D69" s="248">
        <f>D68/D61</f>
        <v>6518.6695412925983</v>
      </c>
      <c r="E69" s="248">
        <f>E68/E61</f>
        <v>6600.1178710661425</v>
      </c>
      <c r="F69" s="249">
        <f>F68/F61</f>
        <v>5103.9174852568094</v>
      </c>
    </row>
    <row r="70" spans="1:6" x14ac:dyDescent="0.3">
      <c r="A70" s="243"/>
      <c r="B70" s="248"/>
      <c r="C70" s="248"/>
      <c r="D70" s="248"/>
      <c r="E70" s="248"/>
      <c r="F70" s="249"/>
    </row>
    <row r="71" spans="1:6" x14ac:dyDescent="0.3">
      <c r="A71" s="243" t="s">
        <v>107</v>
      </c>
      <c r="B71" s="248">
        <f>B32</f>
        <v>27814.955162674138</v>
      </c>
      <c r="C71" s="248">
        <f>C32</f>
        <v>28340.852665431543</v>
      </c>
      <c r="D71" s="248">
        <f>D32</f>
        <v>15095.00816956583</v>
      </c>
      <c r="E71" s="248">
        <f>E32</f>
        <v>17644.709481877468</v>
      </c>
      <c r="F71" s="249">
        <f>F32</f>
        <v>47639.282692054476</v>
      </c>
    </row>
    <row r="72" spans="1:6" x14ac:dyDescent="0.3">
      <c r="A72" s="243" t="s">
        <v>108</v>
      </c>
      <c r="B72" s="248">
        <f>B71/B61</f>
        <v>4486.2830907538928</v>
      </c>
      <c r="C72" s="248">
        <f>C71/C61</f>
        <v>4571.105268617991</v>
      </c>
      <c r="D72" s="248">
        <f>D71/D61</f>
        <v>10570.734012301002</v>
      </c>
      <c r="E72" s="248">
        <f>E71/E61</f>
        <v>8679.1487859702247</v>
      </c>
      <c r="F72" s="249">
        <f>F71/F61</f>
        <v>5954.9103365068095</v>
      </c>
    </row>
    <row r="73" spans="1:6" x14ac:dyDescent="0.3">
      <c r="A73" s="243"/>
      <c r="B73" s="248"/>
      <c r="C73" s="248"/>
      <c r="D73" s="248"/>
      <c r="E73" s="248"/>
      <c r="F73" s="249"/>
    </row>
    <row r="74" spans="1:6" x14ac:dyDescent="0.3">
      <c r="A74" s="223" t="s">
        <v>109</v>
      </c>
      <c r="B74" s="251"/>
      <c r="C74" s="251"/>
      <c r="D74" s="251"/>
      <c r="E74" s="251"/>
      <c r="F74" s="252"/>
    </row>
    <row r="75" spans="1:6" x14ac:dyDescent="0.3">
      <c r="A75" s="250" t="s">
        <v>110</v>
      </c>
      <c r="B75" s="248">
        <f>B34</f>
        <v>3899.8771942258645</v>
      </c>
      <c r="C75" s="248">
        <f>C34</f>
        <v>2731.2295546684581</v>
      </c>
      <c r="D75" s="248">
        <f>D34</f>
        <v>4289.4413350341692</v>
      </c>
      <c r="E75" s="248">
        <f>E34</f>
        <v>3331.5017581225311</v>
      </c>
      <c r="F75" s="249">
        <f>F34</f>
        <v>-9585.3398820544753</v>
      </c>
    </row>
    <row r="76" spans="1:6" x14ac:dyDescent="0.3">
      <c r="A76" s="250" t="s">
        <v>111</v>
      </c>
      <c r="B76" s="248">
        <f>B75/B61</f>
        <v>629.01245068159108</v>
      </c>
      <c r="C76" s="248">
        <f>C75/C61</f>
        <v>440.52089591426744</v>
      </c>
      <c r="D76" s="248">
        <f>D75/D61</f>
        <v>3003.8104587074017</v>
      </c>
      <c r="E76" s="248">
        <f>E75/E61</f>
        <v>1638.712128933857</v>
      </c>
      <c r="F76" s="249">
        <f>F75/F61</f>
        <v>-1198.1674852568094</v>
      </c>
    </row>
    <row r="77" spans="1:6" x14ac:dyDescent="0.3">
      <c r="A77" s="243"/>
      <c r="B77" s="248"/>
      <c r="C77" s="248"/>
      <c r="D77" s="248"/>
      <c r="E77" s="248"/>
      <c r="F77" s="249"/>
    </row>
    <row r="78" spans="1:6" x14ac:dyDescent="0.3">
      <c r="A78" s="243" t="s">
        <v>112</v>
      </c>
      <c r="B78" s="248">
        <f>B35</f>
        <v>-3599.3051626741362</v>
      </c>
      <c r="C78" s="248">
        <f>C35</f>
        <v>-4125.2026654315414</v>
      </c>
      <c r="D78" s="248">
        <f>D35</f>
        <v>-1496.9067295658315</v>
      </c>
      <c r="E78" s="248">
        <f>E35</f>
        <v>-895.16809187746912</v>
      </c>
      <c r="F78" s="249">
        <f>F35</f>
        <v>-16393.282692054476</v>
      </c>
    </row>
    <row r="79" spans="1:6" x14ac:dyDescent="0.3">
      <c r="A79" s="243" t="s">
        <v>113</v>
      </c>
      <c r="B79" s="248">
        <f>B78/B4</f>
        <v>-580.53309075389291</v>
      </c>
      <c r="C79" s="248">
        <f>C78/C4</f>
        <v>-665.35526861799053</v>
      </c>
      <c r="D79" s="248">
        <f>D78/D4</f>
        <v>-1048.2540123010024</v>
      </c>
      <c r="E79" s="248">
        <f>E78/E4</f>
        <v>-440.31878597022586</v>
      </c>
      <c r="F79" s="249">
        <f>F78/F4</f>
        <v>-2049.1603365068095</v>
      </c>
    </row>
    <row r="80" spans="1:6" x14ac:dyDescent="0.3">
      <c r="A80" s="243"/>
      <c r="B80" s="248"/>
      <c r="C80" s="248"/>
      <c r="D80" s="248"/>
      <c r="E80" s="248"/>
      <c r="F80" s="249"/>
    </row>
    <row r="81" spans="1:6" x14ac:dyDescent="0.3">
      <c r="A81" s="221" t="s">
        <v>114</v>
      </c>
      <c r="B81" s="251"/>
      <c r="C81" s="251"/>
      <c r="D81" s="251"/>
      <c r="E81" s="251"/>
      <c r="F81" s="252"/>
    </row>
    <row r="82" spans="1:6" ht="15" thickBot="1" x14ac:dyDescent="0.35">
      <c r="A82" s="250" t="s">
        <v>115</v>
      </c>
      <c r="B82" s="253">
        <f>B68/B64</f>
        <v>5.2015036307429146</v>
      </c>
      <c r="C82" s="253">
        <f>C68/C64</f>
        <v>5.5007157256177539</v>
      </c>
      <c r="D82" s="253">
        <f t="shared" ref="D82:E82" si="1">D68/D64</f>
        <v>0.97754577641179918</v>
      </c>
      <c r="E82" s="253">
        <f t="shared" si="1"/>
        <v>1.6286341181790942</v>
      </c>
      <c r="F82" s="254">
        <f>F68/F61</f>
        <v>5103.9174852568094</v>
      </c>
    </row>
    <row r="83" spans="1:6" ht="15.6" thickTop="1" thickBot="1" x14ac:dyDescent="0.35">
      <c r="A83" s="250" t="s">
        <v>116</v>
      </c>
      <c r="B83" s="255">
        <f>B69+B6</f>
        <v>3682.987549318409</v>
      </c>
      <c r="C83" s="255">
        <f>C69+C6</f>
        <v>3871.4791040857326</v>
      </c>
      <c r="D83" s="255">
        <f>D69+D6</f>
        <v>6996.1895412925987</v>
      </c>
      <c r="E83" s="255">
        <f>E69+E6</f>
        <v>6706.2878710661425</v>
      </c>
      <c r="F83" s="256">
        <f>F69+F6</f>
        <v>5510.1674852568094</v>
      </c>
    </row>
    <row r="84" spans="1:6" ht="15.6" thickTop="1" thickBot="1" x14ac:dyDescent="0.35">
      <c r="A84" s="221" t="s">
        <v>117</v>
      </c>
      <c r="B84" s="257"/>
      <c r="C84" s="257"/>
      <c r="D84" s="257"/>
      <c r="E84" s="257"/>
      <c r="F84" s="258"/>
    </row>
    <row r="85" spans="1:6" ht="15.6" thickTop="1" thickBot="1" x14ac:dyDescent="0.35">
      <c r="A85" s="243" t="s">
        <v>115</v>
      </c>
      <c r="B85" s="259">
        <f>B71/B64</f>
        <v>7.1215400787746628</v>
      </c>
      <c r="C85" s="259">
        <f>C71/C64</f>
        <v>7.2561870742959851</v>
      </c>
      <c r="D85" s="259">
        <f>D71/D64</f>
        <v>1.5851971513267373</v>
      </c>
      <c r="E85" s="259">
        <f>E71/E64</f>
        <v>2.1416523319303189</v>
      </c>
      <c r="F85" s="260">
        <f>F71/F64</f>
        <v>12.197217613020413</v>
      </c>
    </row>
    <row r="86" spans="1:6" ht="15.6" thickTop="1" thickBot="1" x14ac:dyDescent="0.35">
      <c r="A86" s="261" t="s">
        <v>116</v>
      </c>
      <c r="B86" s="262">
        <f>B72+B6</f>
        <v>4892.5330907538928</v>
      </c>
      <c r="C86" s="262">
        <f>C72+C6</f>
        <v>4977.355268617991</v>
      </c>
      <c r="D86" s="262">
        <f>D72+D6</f>
        <v>11048.254012301002</v>
      </c>
      <c r="E86" s="262">
        <f>E72+E6</f>
        <v>8785.3187859702248</v>
      </c>
      <c r="F86" s="263">
        <f>F72+F6</f>
        <v>6361.1603365068095</v>
      </c>
    </row>
  </sheetData>
  <mergeCells count="1">
    <mergeCell ref="A37:F37"/>
  </mergeCells>
  <conditionalFormatting sqref="B35:E36 F35 B34:F34">
    <cfRule type="colorScale" priority="2">
      <colorScale>
        <cfvo type="min"/>
        <cfvo type="percentile" val="50"/>
        <cfvo type="max"/>
        <color rgb="FFF8696B"/>
        <color rgb="FFFFEB84"/>
        <color rgb="FF63BE7B"/>
      </colorScale>
    </cfRule>
  </conditionalFormatting>
  <conditionalFormatting sqref="B34:F36">
    <cfRule type="colorScale" priority="4">
      <colorScale>
        <cfvo type="min"/>
        <cfvo type="percentile" val="50"/>
        <cfvo type="max"/>
        <color rgb="FFF8696B"/>
        <color rgb="FFFFEB84"/>
        <color rgb="FF63BE7B"/>
      </colorScale>
    </cfRule>
  </conditionalFormatting>
  <conditionalFormatting sqref="F34:F36">
    <cfRule type="colorScale" priority="3">
      <colorScale>
        <cfvo type="min"/>
        <cfvo type="percentile" val="50"/>
        <cfvo type="max"/>
        <color rgb="FFF8696B"/>
        <color rgb="FFFFEB84"/>
        <color rgb="FF63BE7B"/>
      </colorScale>
    </cfRule>
  </conditionalFormatting>
  <pageMargins left="0.7" right="0.7" top="0.75" bottom="0.75" header="0.3" footer="0.3"/>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BD75F-79E7-429D-BF9B-90C254243D8B}">
  <dimension ref="A1:F41"/>
  <sheetViews>
    <sheetView zoomScale="70" zoomScaleNormal="70" zoomScaleSheetLayoutView="70" workbookViewId="0">
      <selection activeCell="X49" sqref="X49"/>
    </sheetView>
  </sheetViews>
  <sheetFormatPr defaultColWidth="9.109375" defaultRowHeight="14.4" x14ac:dyDescent="0.3"/>
  <cols>
    <col min="1" max="1" width="20.88671875" style="53" bestFit="1" customWidth="1"/>
    <col min="2" max="2" width="8.33203125" style="53" bestFit="1" customWidth="1"/>
    <col min="3" max="3" width="9.109375" style="53" customWidth="1"/>
    <col min="4" max="5" width="9.109375" style="53"/>
    <col min="6" max="6" width="7.109375" style="53" bestFit="1" customWidth="1"/>
    <col min="7" max="16384" width="9.109375" style="53"/>
  </cols>
  <sheetData>
    <row r="1" spans="1:6" ht="18" x14ac:dyDescent="0.35">
      <c r="A1" s="264" t="s">
        <v>118</v>
      </c>
      <c r="B1" s="265"/>
      <c r="C1" s="266"/>
      <c r="D1" s="264" t="s">
        <v>119</v>
      </c>
      <c r="E1" s="265"/>
      <c r="F1" s="266"/>
    </row>
    <row r="2" spans="1:6" ht="18" x14ac:dyDescent="0.35">
      <c r="A2" s="57" t="s">
        <v>120</v>
      </c>
      <c r="B2" s="58">
        <v>0</v>
      </c>
      <c r="C2" s="59">
        <v>0</v>
      </c>
      <c r="D2" s="58" t="s">
        <v>121</v>
      </c>
      <c r="E2" s="58"/>
      <c r="F2" s="60">
        <f>((B4+B3+F7)/B7)*100</f>
        <v>46.075459309296043</v>
      </c>
    </row>
    <row r="3" spans="1:6" ht="18" x14ac:dyDescent="0.35">
      <c r="A3" s="57" t="s">
        <v>122</v>
      </c>
      <c r="B3" s="61">
        <f>'Crop Comparison'!C28</f>
        <v>21484.420445331543</v>
      </c>
      <c r="C3" s="60">
        <f>B3/$B$7*100</f>
        <v>40.878710256081561</v>
      </c>
      <c r="D3" s="58" t="s">
        <v>119</v>
      </c>
      <c r="E3" s="58"/>
      <c r="F3" s="59">
        <v>1</v>
      </c>
    </row>
    <row r="4" spans="1:6" ht="18" x14ac:dyDescent="0.35">
      <c r="A4" s="57" t="s">
        <v>123</v>
      </c>
      <c r="B4" s="61">
        <f>'Crop Comparison'!C30</f>
        <v>6856.4322200999995</v>
      </c>
      <c r="C4" s="60">
        <f>B4/$B$7*100</f>
        <v>13.045830434622395</v>
      </c>
      <c r="D4" s="58" t="s">
        <v>124</v>
      </c>
      <c r="E4" s="58"/>
      <c r="F4" s="60">
        <f>C7-F3-F2</f>
        <v>152.92454069070396</v>
      </c>
    </row>
    <row r="5" spans="1:6" ht="18" x14ac:dyDescent="0.35">
      <c r="A5" s="57" t="s">
        <v>125</v>
      </c>
      <c r="B5" s="61">
        <f>'Crop Comparison'!C8</f>
        <v>24215.65</v>
      </c>
      <c r="C5" s="60">
        <f>B5/$B$7*100</f>
        <v>46.075459309296043</v>
      </c>
      <c r="D5" s="57"/>
      <c r="E5" s="58"/>
      <c r="F5" s="59"/>
    </row>
    <row r="6" spans="1:6" ht="18" x14ac:dyDescent="0.35">
      <c r="A6" s="57" t="s">
        <v>126</v>
      </c>
      <c r="B6" s="58"/>
      <c r="C6" s="59">
        <v>100</v>
      </c>
      <c r="D6" s="57"/>
      <c r="E6" s="58"/>
      <c r="F6" s="59"/>
    </row>
    <row r="7" spans="1:6" ht="18.600000000000001" thickBot="1" x14ac:dyDescent="0.4">
      <c r="A7" s="62" t="s">
        <v>127</v>
      </c>
      <c r="B7" s="63">
        <f>SUM(B3:B5)</f>
        <v>52556.502665431544</v>
      </c>
      <c r="C7" s="64">
        <f>SUM(C2:C6)</f>
        <v>200</v>
      </c>
      <c r="D7" s="62" t="s">
        <v>128</v>
      </c>
      <c r="E7" s="65"/>
      <c r="F7" s="66">
        <f>B5-(B3+B4)</f>
        <v>-4125.2026654315414</v>
      </c>
    </row>
    <row r="17" spans="1:6" ht="15" thickBot="1" x14ac:dyDescent="0.35"/>
    <row r="18" spans="1:6" ht="18" x14ac:dyDescent="0.35">
      <c r="A18" s="267" t="s">
        <v>129</v>
      </c>
      <c r="B18" s="268"/>
      <c r="C18" s="269"/>
      <c r="D18" s="264" t="s">
        <v>119</v>
      </c>
      <c r="E18" s="265"/>
      <c r="F18" s="266"/>
    </row>
    <row r="19" spans="1:6" ht="18" x14ac:dyDescent="0.35">
      <c r="A19" s="57" t="s">
        <v>120</v>
      </c>
      <c r="B19" s="58">
        <v>0</v>
      </c>
      <c r="C19" s="59">
        <v>0</v>
      </c>
      <c r="D19" s="58" t="s">
        <v>121</v>
      </c>
      <c r="E19" s="58"/>
      <c r="F19" s="60">
        <f>((B21+B20+F24)/B24)*100</f>
        <v>47.391522302854924</v>
      </c>
    </row>
    <row r="20" spans="1:6" ht="18" x14ac:dyDescent="0.35">
      <c r="A20" s="57" t="s">
        <v>122</v>
      </c>
      <c r="B20" s="61">
        <f>'Crop Comparison'!D28</f>
        <v>9308.6601049658293</v>
      </c>
      <c r="C20" s="60">
        <f>B20/$B$24*100</f>
        <v>32.44214458325029</v>
      </c>
      <c r="D20" s="58" t="s">
        <v>119</v>
      </c>
      <c r="E20" s="58"/>
      <c r="F20" s="59">
        <v>1</v>
      </c>
    </row>
    <row r="21" spans="1:6" ht="18" x14ac:dyDescent="0.35">
      <c r="A21" s="57" t="s">
        <v>123</v>
      </c>
      <c r="B21" s="61">
        <f>'Crop Comparison'!D30</f>
        <v>5786.3480645999998</v>
      </c>
      <c r="C21" s="60">
        <f>B21/$B$24*100</f>
        <v>20.166333113894783</v>
      </c>
      <c r="D21" s="58" t="s">
        <v>124</v>
      </c>
      <c r="E21" s="58"/>
      <c r="F21" s="60">
        <f>C24-F20-F19</f>
        <v>151.60847769714508</v>
      </c>
    </row>
    <row r="22" spans="1:6" ht="18" x14ac:dyDescent="0.35">
      <c r="A22" s="57" t="s">
        <v>125</v>
      </c>
      <c r="B22" s="61">
        <f>'Crop Comparison'!D8</f>
        <v>13598.101439999999</v>
      </c>
      <c r="C22" s="60">
        <f t="shared" ref="C22" si="0">B22/$B$24*100</f>
        <v>47.391522302854924</v>
      </c>
      <c r="D22" s="57"/>
      <c r="E22" s="58"/>
      <c r="F22" s="59"/>
    </row>
    <row r="23" spans="1:6" ht="18" x14ac:dyDescent="0.35">
      <c r="A23" s="57" t="s">
        <v>126</v>
      </c>
      <c r="B23" s="58"/>
      <c r="C23" s="59">
        <v>100</v>
      </c>
      <c r="D23" s="57"/>
      <c r="E23" s="58"/>
      <c r="F23" s="59"/>
    </row>
    <row r="24" spans="1:6" ht="18.600000000000001" thickBot="1" x14ac:dyDescent="0.4">
      <c r="A24" s="62" t="s">
        <v>127</v>
      </c>
      <c r="B24" s="63">
        <f>SUM(B20:B22)</f>
        <v>28693.109609565829</v>
      </c>
      <c r="C24" s="64">
        <f>SUM(C19:C23)</f>
        <v>200</v>
      </c>
      <c r="D24" s="62" t="s">
        <v>128</v>
      </c>
      <c r="E24" s="65"/>
      <c r="F24" s="66">
        <f>B22-(B20+B21)</f>
        <v>-1496.9067295658315</v>
      </c>
    </row>
    <row r="34" spans="1:6" ht="15" thickBot="1" x14ac:dyDescent="0.35"/>
    <row r="35" spans="1:6" ht="18" x14ac:dyDescent="0.35">
      <c r="A35" s="264" t="s">
        <v>130</v>
      </c>
      <c r="B35" s="265"/>
      <c r="C35" s="266"/>
      <c r="D35" s="264" t="s">
        <v>119</v>
      </c>
      <c r="E35" s="265"/>
      <c r="F35" s="266"/>
    </row>
    <row r="36" spans="1:6" ht="18" x14ac:dyDescent="0.35">
      <c r="A36" s="57" t="s">
        <v>120</v>
      </c>
      <c r="B36" s="58">
        <v>0</v>
      </c>
      <c r="C36" s="59">
        <v>0</v>
      </c>
      <c r="D36" s="58" t="s">
        <v>121</v>
      </c>
      <c r="E36" s="58"/>
      <c r="F36" s="60">
        <f>((B38+B37+F41)/B41)*100</f>
        <v>48.698666100895657</v>
      </c>
    </row>
    <row r="37" spans="1:6" ht="18" x14ac:dyDescent="0.35">
      <c r="A37" s="57" t="s">
        <v>122</v>
      </c>
      <c r="B37" s="61">
        <f>'Crop Comparison'!E28</f>
        <v>13418.039631877467</v>
      </c>
      <c r="C37" s="60">
        <f>B37/$B$41*100</f>
        <v>39.012449149891957</v>
      </c>
      <c r="D37" s="58" t="s">
        <v>119</v>
      </c>
      <c r="E37" s="58"/>
      <c r="F37" s="59">
        <v>1</v>
      </c>
    </row>
    <row r="38" spans="1:6" ht="18" x14ac:dyDescent="0.35">
      <c r="A38" s="57" t="s">
        <v>123</v>
      </c>
      <c r="B38" s="61">
        <f>'Crop Comparison'!E30</f>
        <v>4226.6698500000002</v>
      </c>
      <c r="C38" s="60">
        <f>B38/$B$41*100</f>
        <v>12.288884749212393</v>
      </c>
      <c r="D38" s="58" t="s">
        <v>124</v>
      </c>
      <c r="E38" s="58"/>
      <c r="F38" s="60">
        <f>C41-F37-F36</f>
        <v>150.30133389910435</v>
      </c>
    </row>
    <row r="39" spans="1:6" ht="18" x14ac:dyDescent="0.35">
      <c r="A39" s="57" t="s">
        <v>125</v>
      </c>
      <c r="B39" s="61">
        <f>'Crop Comparison'!E8</f>
        <v>16749.541389999999</v>
      </c>
      <c r="C39" s="60">
        <f t="shared" ref="C39" si="1">B39/$B$41*100</f>
        <v>48.698666100895657</v>
      </c>
      <c r="D39" s="57"/>
      <c r="E39" s="58"/>
      <c r="F39" s="59"/>
    </row>
    <row r="40" spans="1:6" ht="18" x14ac:dyDescent="0.35">
      <c r="A40" s="57" t="s">
        <v>126</v>
      </c>
      <c r="B40" s="58"/>
      <c r="C40" s="59">
        <v>100</v>
      </c>
      <c r="D40" s="57"/>
      <c r="E40" s="58"/>
      <c r="F40" s="59"/>
    </row>
    <row r="41" spans="1:6" ht="18.600000000000001" thickBot="1" x14ac:dyDescent="0.4">
      <c r="A41" s="62" t="s">
        <v>127</v>
      </c>
      <c r="B41" s="63">
        <f>SUM(B37:B39)</f>
        <v>34394.250871877462</v>
      </c>
      <c r="C41" s="64">
        <f>SUM(C36:C40)</f>
        <v>200</v>
      </c>
      <c r="D41" s="62" t="s">
        <v>128</v>
      </c>
      <c r="E41" s="65"/>
      <c r="F41" s="66">
        <f>B39-(B37+B38)</f>
        <v>-895.16809187746912</v>
      </c>
    </row>
  </sheetData>
  <mergeCells count="6">
    <mergeCell ref="A1:C1"/>
    <mergeCell ref="D1:F1"/>
    <mergeCell ref="A18:C18"/>
    <mergeCell ref="D18:F18"/>
    <mergeCell ref="A35:C35"/>
    <mergeCell ref="D35:F3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F34FFA60B85ED4788681866754E016A" ma:contentTypeVersion="16" ma:contentTypeDescription="Create a new document." ma:contentTypeScope="" ma:versionID="b77f188cd9bc58b62dcf211ad9302814">
  <xsd:schema xmlns:xsd="http://www.w3.org/2001/XMLSchema" xmlns:xs="http://www.w3.org/2001/XMLSchema" xmlns:p="http://schemas.microsoft.com/office/2006/metadata/properties" xmlns:ns2="13a0b348-8834-4d7c-b06d-697f5a4282a4" xmlns:ns3="95943543-aac6-4fde-8f8b-77a9ea0cd5ed" targetNamespace="http://schemas.microsoft.com/office/2006/metadata/properties" ma:root="true" ma:fieldsID="367b602f478b113fb50ea0fb44ea6cab" ns2:_="" ns3:_="">
    <xsd:import namespace="13a0b348-8834-4d7c-b06d-697f5a4282a4"/>
    <xsd:import namespace="95943543-aac6-4fde-8f8b-77a9ea0cd5e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ocumentType"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Productionseason" minOccurs="0"/>
                <xsd:element ref="ns2:CropType" minOccurs="0"/>
                <xsd:element ref="ns2:FileType" minOccurs="0"/>
                <xsd:element ref="ns2:Commod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a0b348-8834-4d7c-b06d-697f5a4282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ocumentType" ma:index="11" nillable="true" ma:displayName="Document Type" ma:format="Dropdown" ma:internalName="DocumentType">
      <xsd:simpleType>
        <xsd:restriction base="dms:Choice">
          <xsd:enumeration value="CEC Data"/>
          <xsd:enumeration value="Choice 2"/>
          <xsd:enumeration value="Choice 3"/>
        </xsd:restrictio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63362023-a8c1-4b5e-9a31-595cfc7316f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Productionseason" ma:index="20" nillable="true" ma:displayName="Production season" ma:format="Dropdown" ma:internalName="Productionseason">
      <xsd:simpleType>
        <xsd:restriction base="dms:Choice">
          <xsd:enumeration value="2026-2027"/>
          <xsd:enumeration value="2025-2026"/>
          <xsd:enumeration value="2024-2025"/>
        </xsd:restriction>
      </xsd:simpleType>
    </xsd:element>
    <xsd:element name="CropType" ma:index="21" nillable="true" ma:displayName="Crop Type" ma:format="Dropdown" ma:internalName="CropType">
      <xsd:simpleType>
        <xsd:restriction base="dms:Choice">
          <xsd:enumeration value="Summergrain"/>
          <xsd:enumeration value="Wintercereal"/>
          <xsd:enumeration value="Choice 3"/>
        </xsd:restriction>
      </xsd:simpleType>
    </xsd:element>
    <xsd:element name="FileType" ma:index="22" nillable="true" ma:displayName="File Type" ma:format="Dropdown" ma:internalName="FileType">
      <xsd:simpleType>
        <xsd:restriction base="dms:Choice">
          <xsd:enumeration value="Budget"/>
          <xsd:enumeration value="Model"/>
        </xsd:restriction>
      </xsd:simpleType>
    </xsd:element>
    <xsd:element name="Commodity" ma:index="23" nillable="true" ma:displayName="Commodity" ma:format="Dropdown" ma:internalName="Commodity">
      <xsd:simpleType>
        <xsd:union memberTypes="dms:Text">
          <xsd:simpleType>
            <xsd:restriction base="dms:Choice">
              <xsd:enumeration value="Soybeans"/>
              <xsd:enumeration value="Maize"/>
              <xsd:enumeration value="Sunflower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943543-aac6-4fde-8f8b-77a9ea0cd5e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c573613-ccca-48a7-99d6-f425781793e5}" ma:internalName="TaxCatchAll" ma:showField="CatchAllData" ma:web="95943543-aac6-4fde-8f8b-77a9ea0cd5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DocumentType xmlns="13a0b348-8834-4d7c-b06d-697f5a4282a4" xsi:nil="true"/>
    <TaxCatchAll xmlns="95943543-aac6-4fde-8f8b-77a9ea0cd5ed" xsi:nil="true"/>
    <lcf76f155ced4ddcb4097134ff3c332f xmlns="13a0b348-8834-4d7c-b06d-697f5a4282a4">
      <Terms xmlns="http://schemas.microsoft.com/office/infopath/2007/PartnerControls"/>
    </lcf76f155ced4ddcb4097134ff3c332f>
    <FileType xmlns="13a0b348-8834-4d7c-b06d-697f5a4282a4">Budget</FileType>
    <Productionseason xmlns="13a0b348-8834-4d7c-b06d-697f5a4282a4">2026-2027</Productionseason>
    <CropType xmlns="13a0b348-8834-4d7c-b06d-697f5a4282a4">Summergrain</CropType>
    <Commodity xmlns="13a0b348-8834-4d7c-b06d-697f5a4282a4" xsi:nil="true"/>
  </documentManagement>
</p:properties>
</file>

<file path=customXml/itemProps1.xml><?xml version="1.0" encoding="utf-8"?>
<ds:datastoreItem xmlns:ds="http://schemas.openxmlformats.org/officeDocument/2006/customXml" ds:itemID="{804E2444-D0F4-4D0E-9519-F571725A922C}">
  <ds:schemaRefs>
    <ds:schemaRef ds:uri="http://schemas.microsoft.com/sharepoint/v3/contenttype/forms"/>
  </ds:schemaRefs>
</ds:datastoreItem>
</file>

<file path=customXml/itemProps2.xml><?xml version="1.0" encoding="utf-8"?>
<ds:datastoreItem xmlns:ds="http://schemas.openxmlformats.org/officeDocument/2006/customXml" ds:itemID="{93B21BF3-B072-4D7B-A650-EB5939CEBB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a0b348-8834-4d7c-b06d-697f5a4282a4"/>
    <ds:schemaRef ds:uri="95943543-aac6-4fde-8f8b-77a9ea0cd5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0865E6-27F2-4E3D-ACA8-C103D8C77A0A}">
  <ds:schemaRefs>
    <ds:schemaRef ds:uri="http://schemas.microsoft.com/office/2006/metadata/longProperties"/>
  </ds:schemaRefs>
</ds:datastoreItem>
</file>

<file path=customXml/itemProps4.xml><?xml version="1.0" encoding="utf-8"?>
<ds:datastoreItem xmlns:ds="http://schemas.openxmlformats.org/officeDocument/2006/customXml" ds:itemID="{DF120CE1-E821-4E50-85D5-869D05A31809}">
  <ds:schemaRefs>
    <ds:schemaRef ds:uri="95943543-aac6-4fde-8f8b-77a9ea0cd5ed"/>
    <ds:schemaRef ds:uri="http://purl.org/dc/terms/"/>
    <ds:schemaRef ds:uri="http://schemas.microsoft.com/office/2006/documentManagement/types"/>
    <ds:schemaRef ds:uri="http://www.w3.org/XML/1998/namespace"/>
    <ds:schemaRef ds:uri="http://purl.org/dc/dcmityp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13a0b348-8834-4d7c-b06d-697f5a4282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Pryse + Sensatiwiteitsanalise</vt:lpstr>
      <vt:lpstr>W-Mielie </vt:lpstr>
      <vt:lpstr>W-BT Mielies</vt:lpstr>
      <vt:lpstr>Bes-mielies</vt:lpstr>
      <vt:lpstr>Sonneblom</vt:lpstr>
      <vt:lpstr>Sojabone</vt:lpstr>
      <vt:lpstr>Crop Comparison</vt:lpstr>
      <vt:lpstr>Grafieke</vt:lpstr>
      <vt:lpstr>Obrengspeil</vt:lpstr>
      <vt:lpstr>'Bes-mielies'!Print_Area</vt:lpstr>
      <vt:lpstr>Sojabone!Print_Area</vt:lpstr>
      <vt:lpstr>Sonneblom!Print_Area</vt:lpstr>
      <vt:lpstr>'W-BT Mielies'!Print_Area</vt:lpstr>
      <vt:lpstr>'W-Mielie '!Print_Area</vt:lpstr>
      <vt:lpstr>Sojaopbrengspeil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Private</dc:creator>
  <cp:keywords/>
  <dc:description/>
  <cp:lastModifiedBy>Cathrine Mathekga</cp:lastModifiedBy>
  <cp:revision/>
  <dcterms:created xsi:type="dcterms:W3CDTF">2007-01-09T12:07:13Z</dcterms:created>
  <dcterms:modified xsi:type="dcterms:W3CDTF">2026-09-08T13:13:41Z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Petru Fourie</vt:lpwstr>
  </property>
  <property fmtid="{D5CDD505-2E9C-101B-9397-08002B2CF9AE}" pid="3" name="Order">
    <vt:lpwstr>16553200.0000000</vt:lpwstr>
  </property>
  <property fmtid="{D5CDD505-2E9C-101B-9397-08002B2CF9AE}" pid="4" name="display_urn:schemas-microsoft-com:office:office#Author">
    <vt:lpwstr>Petru Fourie</vt:lpwstr>
  </property>
  <property fmtid="{D5CDD505-2E9C-101B-9397-08002B2CF9AE}" pid="5" name="MediaServiceImageTags">
    <vt:lpwstr/>
  </property>
  <property fmtid="{D5CDD505-2E9C-101B-9397-08002B2CF9AE}" pid="6" name="ContentTypeId">
    <vt:lpwstr>0x010100DF34FFA60B85ED4788681866754E016A</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