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11.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1569" documentId="13_ncr:1_{4D978638-556D-40EF-879C-E480E4A6A14D}" xr6:coauthVersionLast="47" xr6:coauthVersionMax="47" xr10:uidLastSave="{73D7EB9E-7F14-4622-BBF0-4BF9A15EA844}"/>
  <bookViews>
    <workbookView xWindow="-108" yWindow="-108" windowWidth="23256" windowHeight="12456" tabRatio="904" xr2:uid="{00000000-000D-0000-FFFF-FFFF00000000}"/>
  </bookViews>
  <sheets>
    <sheet name="Pryse + Sensatiwiteitsanalise" sheetId="34" r:id="rId1"/>
    <sheet name="Yellow-Roundup R mielies " sheetId="19" r:id="rId2"/>
    <sheet name="W-BT Mielies vermin till" sheetId="22" state="hidden" r:id="rId3"/>
    <sheet name="Mielie Vermin Bewerk" sheetId="37" r:id="rId4"/>
    <sheet name="Bes-mielies" sheetId="10" r:id="rId5"/>
    <sheet name="Sojabone" sheetId="20" r:id="rId6"/>
    <sheet name="Sojabone verminderde bewerking" sheetId="30" state="hidden" r:id="rId7"/>
    <sheet name="Sojabone Vermin bewerk" sheetId="38" r:id="rId8"/>
    <sheet name="Graansorghum" sheetId="35" r:id="rId9"/>
    <sheet name="Crop Comparison" sheetId="36" r:id="rId10"/>
    <sheet name="Grafieke" sheetId="39" r:id="rId11"/>
  </sheets>
  <externalReferences>
    <externalReference r:id="rId12"/>
    <externalReference r:id="rId13"/>
    <externalReference r:id="rId14"/>
    <externalReference r:id="rId15"/>
    <externalReference r:id="rId16"/>
  </externalReferences>
  <definedNames>
    <definedName name="BTopbrengspeil" localSheetId="10">'[1]W-BT Mielies'!$K$9:$K$14</definedName>
    <definedName name="BTopbrengspeil">'[2]W-BT Mielies'!$K$9:$K$14</definedName>
    <definedName name="Cultivar">[3]Seedprices!$A$3:$A$49</definedName>
    <definedName name="Opbrengspeil" localSheetId="3">'Mielie Vermin Bewerk'!$K$9:$K$14</definedName>
    <definedName name="Opbrengspeil">'Yellow-Roundup R mielies '!$K$9:$K$14</definedName>
    <definedName name="Price80DP">[3]Seedprices!$B$3:$B$49</definedName>
    <definedName name="_xlnm.Print_Area" localSheetId="4">'Bes-mielies'!$A$1:$G$47</definedName>
    <definedName name="_xlnm.Print_Area" localSheetId="9">'Crop Comparison'!$A$1:$H$57</definedName>
    <definedName name="_xlnm.Print_Area" localSheetId="8">Graansorghum!$A$1:$H$43</definedName>
    <definedName name="_xlnm.Print_Area" localSheetId="3">'Mielie Vermin Bewerk'!$A$1:$I$47</definedName>
    <definedName name="_xlnm.Print_Area" localSheetId="5">Sojabone!$A$1:$I$43</definedName>
    <definedName name="_xlnm.Print_Area" localSheetId="7">'Sojabone Vermin bewerk'!$A$1:$I$43</definedName>
    <definedName name="_xlnm.Print_Area" localSheetId="6">'Sojabone verminderde bewerking'!$A$1:$I$39</definedName>
    <definedName name="_xlnm.Print_Area" localSheetId="2">'W-BT Mielies vermin till'!$A$1:$I$43</definedName>
    <definedName name="_xlnm.Print_Area" localSheetId="1">'Yellow-Roundup R mielies '!$A$1:$I$47</definedName>
    <definedName name="RRLopbrengspeil">'[4]W-RR mielies Laer opbrengs '!$M$9:$M$14</definedName>
    <definedName name="Sojaopbrengspeil" localSheetId="10">[1]Sojabone!$K$9:$K$13</definedName>
    <definedName name="Sojaopbrengspeil" localSheetId="7">'Sojabone Vermin bewerk'!$K$9:$K$14</definedName>
    <definedName name="Sojaopbrengspeil">Sojabone!#REF!</definedName>
    <definedName name="Sojaverminopbrengspeil">'Sojabone verminderde bewerking'!$K$9:$K$14</definedName>
    <definedName name="Sonopbrengspeil" localSheetId="10">[1]Sonneblom!$K$9:$K$13</definedName>
    <definedName name="Sonopbrengspeil">[2]Sonneblom!$K$9:$K$13</definedName>
    <definedName name="Sorgopbrengspeil" localSheetId="10">[1]Graansorghum!$K$9:$K$13</definedName>
    <definedName name="Sorgopbrengspeil">Graansorghum!$J$9:$J$13</definedName>
    <definedName name="Verminopbrengspeil">'W-BT Mielies vermin till'!$K$9:$K$14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9" l="1"/>
  <c r="F27" i="36"/>
  <c r="F23" i="36"/>
  <c r="F24" i="36"/>
  <c r="F22" i="36"/>
  <c r="F20" i="36"/>
  <c r="F19" i="36"/>
  <c r="F12" i="36"/>
  <c r="F13" i="36"/>
  <c r="F14" i="36"/>
  <c r="F15" i="36"/>
  <c r="F16" i="36"/>
  <c r="F17" i="36"/>
  <c r="F11" i="36"/>
  <c r="F4" i="36"/>
  <c r="E27" i="36"/>
  <c r="E23" i="36"/>
  <c r="E24" i="36"/>
  <c r="E22" i="36"/>
  <c r="E12" i="36"/>
  <c r="E13" i="36"/>
  <c r="E14" i="36"/>
  <c r="E15" i="36"/>
  <c r="E16" i="36"/>
  <c r="E17" i="36"/>
  <c r="E11" i="36"/>
  <c r="E4" i="36"/>
  <c r="D4" i="36" l="1"/>
  <c r="C4" i="36"/>
  <c r="B27" i="36" l="1"/>
  <c r="B23" i="36"/>
  <c r="B24" i="36"/>
  <c r="B22" i="36"/>
  <c r="B12" i="36"/>
  <c r="B13" i="36"/>
  <c r="B14" i="36"/>
  <c r="B15" i="36"/>
  <c r="B16" i="36"/>
  <c r="B17" i="36"/>
  <c r="B11" i="36"/>
  <c r="B4" i="36"/>
  <c r="D26" i="35" l="1"/>
  <c r="D30" i="38"/>
  <c r="D26" i="38"/>
  <c r="D26" i="20"/>
  <c r="E3" i="19"/>
  <c r="D37" i="10"/>
  <c r="D36" i="10"/>
  <c r="I26" i="37"/>
  <c r="D32" i="19"/>
  <c r="D34" i="19"/>
  <c r="D36" i="19" s="1"/>
  <c r="D26" i="19"/>
  <c r="D30" i="19"/>
  <c r="B18" i="39"/>
  <c r="D12" i="36"/>
  <c r="D13" i="36"/>
  <c r="D14" i="36"/>
  <c r="D15" i="36"/>
  <c r="D16" i="36"/>
  <c r="D17" i="36"/>
  <c r="D20" i="36"/>
  <c r="D22" i="36"/>
  <c r="D23" i="36"/>
  <c r="D24" i="36"/>
  <c r="D27" i="36"/>
  <c r="D11" i="36"/>
  <c r="C12" i="36"/>
  <c r="C13" i="36"/>
  <c r="C14" i="36"/>
  <c r="C15" i="36"/>
  <c r="C16" i="36"/>
  <c r="C17" i="36"/>
  <c r="C20" i="36"/>
  <c r="C22" i="36"/>
  <c r="C23" i="36"/>
  <c r="C24" i="36"/>
  <c r="C27" i="36"/>
  <c r="C11" i="36"/>
  <c r="B20" i="36"/>
  <c r="A12" i="36" l="1"/>
  <c r="A13" i="36"/>
  <c r="A14" i="36"/>
  <c r="A15" i="36"/>
  <c r="A16" i="36"/>
  <c r="A17" i="36"/>
  <c r="A18" i="36"/>
  <c r="A19" i="36"/>
  <c r="A20" i="36"/>
  <c r="A21" i="36"/>
  <c r="A22" i="36"/>
  <c r="A23" i="36"/>
  <c r="A24" i="36"/>
  <c r="A25" i="36"/>
  <c r="A26" i="36"/>
  <c r="A27" i="36"/>
  <c r="A11" i="36"/>
  <c r="A18" i="35"/>
  <c r="A18" i="38"/>
  <c r="A18" i="20"/>
  <c r="A18" i="37"/>
  <c r="E26" i="10"/>
  <c r="F26" i="10"/>
  <c r="G26" i="10"/>
  <c r="D26" i="10"/>
  <c r="D30" i="10" s="1"/>
  <c r="D32" i="10" s="1"/>
  <c r="D34" i="35"/>
  <c r="E26" i="37"/>
  <c r="F26" i="37"/>
  <c r="G26" i="37"/>
  <c r="H26" i="37"/>
  <c r="D26" i="37"/>
  <c r="D30" i="37" s="1"/>
  <c r="D32" i="37" s="1"/>
  <c r="F30" i="36"/>
  <c r="E30" i="36"/>
  <c r="D30" i="36"/>
  <c r="C30" i="36"/>
  <c r="E34" i="35"/>
  <c r="F34" i="35"/>
  <c r="G34" i="35"/>
  <c r="H34" i="35"/>
  <c r="D34" i="38"/>
  <c r="E34" i="20"/>
  <c r="E34" i="38" s="1"/>
  <c r="F34" i="20"/>
  <c r="F34" i="38" s="1"/>
  <c r="G34" i="20"/>
  <c r="G34" i="38" s="1"/>
  <c r="H34" i="20"/>
  <c r="H34" i="38" s="1"/>
  <c r="I34" i="20"/>
  <c r="I34" i="38" s="1"/>
  <c r="D34" i="20"/>
  <c r="E34" i="19"/>
  <c r="E34" i="37" s="1"/>
  <c r="E34" i="10" s="1"/>
  <c r="F34" i="19"/>
  <c r="F34" i="37" s="1"/>
  <c r="F34" i="10" s="1"/>
  <c r="G34" i="19"/>
  <c r="G34" i="37" s="1"/>
  <c r="G34" i="10" s="1"/>
  <c r="H34" i="19"/>
  <c r="H34" i="37" s="1"/>
  <c r="I34" i="19"/>
  <c r="I34" i="37" s="1"/>
  <c r="D34" i="37"/>
  <c r="F28" i="36" l="1"/>
  <c r="D36" i="37"/>
  <c r="D34" i="10"/>
  <c r="C28" i="36"/>
  <c r="B28" i="36"/>
  <c r="B18" i="34"/>
  <c r="B30" i="36" l="1"/>
  <c r="B12" i="34" s="1"/>
  <c r="E61" i="36"/>
  <c r="B5" i="36"/>
  <c r="B60" i="36" s="1"/>
  <c r="D59" i="36"/>
  <c r="B33" i="39"/>
  <c r="C5" i="36"/>
  <c r="D5" i="36" s="1"/>
  <c r="E60" i="36" s="1"/>
  <c r="B64" i="34"/>
  <c r="B51" i="34"/>
  <c r="B6" i="36"/>
  <c r="G61" i="36"/>
  <c r="B61" i="36"/>
  <c r="D37" i="38"/>
  <c r="E37" i="38" s="1"/>
  <c r="M12" i="38"/>
  <c r="I26" i="38"/>
  <c r="H26" i="38"/>
  <c r="G26" i="38"/>
  <c r="G30" i="38" s="1"/>
  <c r="G32" i="38" s="1"/>
  <c r="F26" i="38"/>
  <c r="F30" i="38" s="1"/>
  <c r="F32" i="38" s="1"/>
  <c r="E26" i="38"/>
  <c r="D32" i="38"/>
  <c r="D36" i="38" s="1"/>
  <c r="K14" i="38"/>
  <c r="K13" i="38"/>
  <c r="K12" i="38"/>
  <c r="K11" i="38"/>
  <c r="K10" i="38"/>
  <c r="M9" i="38"/>
  <c r="K9" i="38"/>
  <c r="D37" i="37"/>
  <c r="I37" i="37" s="1"/>
  <c r="F30" i="37"/>
  <c r="F32" i="37" s="1"/>
  <c r="E6" i="36"/>
  <c r="E5" i="36"/>
  <c r="F61" i="36"/>
  <c r="F2" i="36"/>
  <c r="G59" i="36" s="1"/>
  <c r="E2" i="36"/>
  <c r="F59" i="36" s="1"/>
  <c r="D2" i="36"/>
  <c r="E59" i="36" s="1"/>
  <c r="B2" i="36"/>
  <c r="B59" i="36" s="1"/>
  <c r="M10" i="38"/>
  <c r="M14" i="30"/>
  <c r="K14" i="30"/>
  <c r="M13" i="30"/>
  <c r="K13" i="30"/>
  <c r="M12" i="30"/>
  <c r="K12" i="30"/>
  <c r="M11" i="30"/>
  <c r="K11" i="30"/>
  <c r="M10" i="30"/>
  <c r="K10" i="30"/>
  <c r="M9" i="30"/>
  <c r="K9" i="30"/>
  <c r="M14" i="22"/>
  <c r="K14" i="22"/>
  <c r="M13" i="22"/>
  <c r="K13" i="22"/>
  <c r="M12" i="22"/>
  <c r="K12" i="22"/>
  <c r="M11" i="22"/>
  <c r="K11" i="22"/>
  <c r="M10" i="22"/>
  <c r="K10" i="22"/>
  <c r="M9" i="22"/>
  <c r="K9" i="22"/>
  <c r="E26" i="20"/>
  <c r="F26" i="20"/>
  <c r="G26" i="20"/>
  <c r="H26" i="20"/>
  <c r="I26" i="20"/>
  <c r="I30" i="20" s="1"/>
  <c r="I32" i="20" s="1"/>
  <c r="D37" i="20"/>
  <c r="G37" i="20" s="1"/>
  <c r="D36" i="30"/>
  <c r="I36" i="30" s="1"/>
  <c r="E25" i="30"/>
  <c r="E29" i="30"/>
  <c r="E31" i="30"/>
  <c r="F25" i="30"/>
  <c r="F29" i="30"/>
  <c r="F31" i="30"/>
  <c r="G25" i="30"/>
  <c r="G29" i="30"/>
  <c r="G31" i="30"/>
  <c r="H25" i="30"/>
  <c r="L13" i="30"/>
  <c r="I25" i="30"/>
  <c r="L14" i="30"/>
  <c r="D37" i="35"/>
  <c r="F37" i="35" s="1"/>
  <c r="E26" i="35"/>
  <c r="E30" i="35" s="1"/>
  <c r="E32" i="35" s="1"/>
  <c r="E36" i="35" s="1"/>
  <c r="F26" i="35"/>
  <c r="G26" i="35"/>
  <c r="G30" i="35" s="1"/>
  <c r="G32" i="35" s="1"/>
  <c r="H26" i="35"/>
  <c r="D30" i="35"/>
  <c r="D25" i="30"/>
  <c r="E25" i="22"/>
  <c r="F25" i="22"/>
  <c r="G25" i="22"/>
  <c r="H25" i="22"/>
  <c r="L13" i="22"/>
  <c r="I25" i="22"/>
  <c r="I29" i="22"/>
  <c r="I31" i="22"/>
  <c r="E26" i="19"/>
  <c r="F26" i="19"/>
  <c r="F30" i="19" s="1"/>
  <c r="G26" i="19"/>
  <c r="G30" i="19" s="1"/>
  <c r="H26" i="19"/>
  <c r="I26" i="19"/>
  <c r="I30" i="19" s="1"/>
  <c r="D37" i="19"/>
  <c r="E37" i="19" s="1"/>
  <c r="F37" i="10"/>
  <c r="E30" i="10"/>
  <c r="E32" i="10" s="1"/>
  <c r="F30" i="10"/>
  <c r="F32" i="10" s="1"/>
  <c r="G30" i="10"/>
  <c r="G32" i="10" s="1"/>
  <c r="D36" i="22"/>
  <c r="I36" i="22" s="1"/>
  <c r="D33" i="22"/>
  <c r="G33" i="22" s="1"/>
  <c r="G35" i="22" s="1"/>
  <c r="D25" i="22"/>
  <c r="L9" i="22"/>
  <c r="B70" i="34"/>
  <c r="B69" i="34"/>
  <c r="B17" i="34"/>
  <c r="J12" i="34" s="1"/>
  <c r="E68" i="34"/>
  <c r="E67" i="34" s="1"/>
  <c r="E66" i="34" s="1"/>
  <c r="AF68" i="34"/>
  <c r="AF69" i="34" s="1"/>
  <c r="AF70" i="34" s="1"/>
  <c r="B30" i="34"/>
  <c r="J25" i="34" s="1"/>
  <c r="B56" i="34"/>
  <c r="J51" i="34" s="1"/>
  <c r="B43" i="34"/>
  <c r="J38" i="34" s="1"/>
  <c r="E16" i="34"/>
  <c r="AF16" i="34" s="1"/>
  <c r="B54" i="34"/>
  <c r="E55" i="34"/>
  <c r="L11" i="30"/>
  <c r="L14" i="22"/>
  <c r="I29" i="30"/>
  <c r="I31" i="30"/>
  <c r="L12" i="30"/>
  <c r="H29" i="22"/>
  <c r="H31" i="22"/>
  <c r="E29" i="34"/>
  <c r="E30" i="34" s="1"/>
  <c r="E31" i="34" s="1"/>
  <c r="D29" i="22"/>
  <c r="D31" i="22"/>
  <c r="L10" i="30"/>
  <c r="F29" i="22"/>
  <c r="F31" i="22"/>
  <c r="L11" i="22"/>
  <c r="E42" i="34"/>
  <c r="E41" i="34" s="1"/>
  <c r="E40" i="34" s="1"/>
  <c r="L9" i="30"/>
  <c r="D29" i="30"/>
  <c r="D31" i="30"/>
  <c r="E29" i="22"/>
  <c r="E31" i="22"/>
  <c r="L10" i="22"/>
  <c r="E36" i="30"/>
  <c r="E43" i="34"/>
  <c r="E44" i="34" s="1"/>
  <c r="I37" i="38"/>
  <c r="M11" i="38"/>
  <c r="M13" i="38"/>
  <c r="AF55" i="34"/>
  <c r="E54" i="34"/>
  <c r="E53" i="34"/>
  <c r="D61" i="36"/>
  <c r="E56" i="34"/>
  <c r="E57" i="34"/>
  <c r="L12" i="22"/>
  <c r="G29" i="22"/>
  <c r="G31" i="22"/>
  <c r="H29" i="30"/>
  <c r="H31" i="30"/>
  <c r="M14" i="38"/>
  <c r="AF56" i="34"/>
  <c r="AF57" i="34"/>
  <c r="AF54" i="34"/>
  <c r="AF53" i="34"/>
  <c r="D33" i="30"/>
  <c r="H33" i="30" s="1"/>
  <c r="H35" i="30" s="1"/>
  <c r="C6" i="36"/>
  <c r="D6" i="36" s="1"/>
  <c r="D35" i="30"/>
  <c r="F33" i="30"/>
  <c r="B57" i="34" s="1"/>
  <c r="I33" i="30"/>
  <c r="I35" i="30" s="1"/>
  <c r="B38" i="34"/>
  <c r="E69" i="34" l="1"/>
  <c r="E70" i="34" s="1"/>
  <c r="AF67" i="34"/>
  <c r="AF66" i="34" s="1"/>
  <c r="AF42" i="34"/>
  <c r="E28" i="34"/>
  <c r="E27" i="34" s="1"/>
  <c r="AF29" i="34"/>
  <c r="AF15" i="34"/>
  <c r="AF14" i="34" s="1"/>
  <c r="AF17" i="34"/>
  <c r="AF18" i="34" s="1"/>
  <c r="Q16" i="34"/>
  <c r="E15" i="34"/>
  <c r="E17" i="34"/>
  <c r="F37" i="38"/>
  <c r="E37" i="20"/>
  <c r="H37" i="38"/>
  <c r="B63" i="34"/>
  <c r="D32" i="35"/>
  <c r="D36" i="35" s="1"/>
  <c r="L12" i="38"/>
  <c r="I37" i="20"/>
  <c r="H37" i="20"/>
  <c r="F37" i="20"/>
  <c r="I37" i="19"/>
  <c r="F37" i="19"/>
  <c r="H37" i="19"/>
  <c r="G37" i="19"/>
  <c r="E30" i="19"/>
  <c r="E32" i="19" s="1"/>
  <c r="E36" i="19" s="1"/>
  <c r="H30" i="19"/>
  <c r="H30" i="35"/>
  <c r="H32" i="35" s="1"/>
  <c r="H36" i="35" s="1"/>
  <c r="F30" i="35"/>
  <c r="F32" i="35" s="1"/>
  <c r="F36" i="35" s="1"/>
  <c r="L9" i="38"/>
  <c r="L10" i="38"/>
  <c r="E30" i="38"/>
  <c r="E32" i="38" s="1"/>
  <c r="E36" i="38" s="1"/>
  <c r="L13" i="38"/>
  <c r="H30" i="38"/>
  <c r="H32" i="38" s="1"/>
  <c r="H36" i="38" s="1"/>
  <c r="L14" i="38"/>
  <c r="I30" i="38"/>
  <c r="I32" i="38" s="1"/>
  <c r="I36" i="38" s="1"/>
  <c r="D30" i="20"/>
  <c r="D32" i="20" s="1"/>
  <c r="D36" i="20" s="1"/>
  <c r="H30" i="20"/>
  <c r="H32" i="20" s="1"/>
  <c r="H36" i="20" s="1"/>
  <c r="F30" i="20"/>
  <c r="F32" i="20" s="1"/>
  <c r="G30" i="20"/>
  <c r="G32" i="20" s="1"/>
  <c r="G36" i="20" s="1"/>
  <c r="E30" i="20"/>
  <c r="E32" i="20" s="1"/>
  <c r="E36" i="20" s="1"/>
  <c r="H30" i="37"/>
  <c r="H32" i="37" s="1"/>
  <c r="E30" i="37"/>
  <c r="E32" i="37" s="1"/>
  <c r="E36" i="37" s="1"/>
  <c r="B24" i="34"/>
  <c r="G30" i="37"/>
  <c r="G32" i="37" s="1"/>
  <c r="I30" i="37"/>
  <c r="I32" i="37" s="1"/>
  <c r="F32" i="19"/>
  <c r="F36" i="19" s="1"/>
  <c r="I32" i="19"/>
  <c r="I36" i="19" s="1"/>
  <c r="G32" i="19"/>
  <c r="G36" i="19" s="1"/>
  <c r="G37" i="38"/>
  <c r="B58" i="34"/>
  <c r="E36" i="22"/>
  <c r="F36" i="22"/>
  <c r="D60" i="36"/>
  <c r="B71" i="34"/>
  <c r="E3" i="35" s="1"/>
  <c r="E28" i="36"/>
  <c r="B32" i="39" s="1"/>
  <c r="D28" i="36"/>
  <c r="H37" i="37"/>
  <c r="G36" i="22"/>
  <c r="H36" i="22"/>
  <c r="B7" i="36"/>
  <c r="B64" i="36" s="1"/>
  <c r="B65" i="36" s="1"/>
  <c r="F36" i="10"/>
  <c r="E36" i="10"/>
  <c r="B65" i="34"/>
  <c r="G36" i="35"/>
  <c r="G33" i="30"/>
  <c r="G35" i="30" s="1"/>
  <c r="E37" i="35"/>
  <c r="F60" i="36"/>
  <c r="E7" i="36"/>
  <c r="I38" i="34"/>
  <c r="H38" i="34" s="1"/>
  <c r="G38" i="34" s="1"/>
  <c r="AK38" i="34"/>
  <c r="K38" i="34"/>
  <c r="L38" i="34" s="1"/>
  <c r="M38" i="34" s="1"/>
  <c r="AK51" i="34"/>
  <c r="AL51" i="34" s="1"/>
  <c r="K51" i="34"/>
  <c r="L51" i="34" s="1"/>
  <c r="G36" i="30"/>
  <c r="H36" i="30"/>
  <c r="F36" i="30"/>
  <c r="C7" i="36"/>
  <c r="K25" i="34"/>
  <c r="L25" i="34" s="1"/>
  <c r="AK25" i="34"/>
  <c r="AL25" i="34" s="1"/>
  <c r="AM25" i="34" s="1"/>
  <c r="AN25" i="34" s="1"/>
  <c r="K12" i="34"/>
  <c r="W12" i="34" s="1"/>
  <c r="W13" i="34" s="1"/>
  <c r="AK12" i="34"/>
  <c r="AL12" i="34" s="1"/>
  <c r="AM12" i="34" s="1"/>
  <c r="AN12" i="34" s="1"/>
  <c r="J13" i="34"/>
  <c r="C32" i="36"/>
  <c r="G36" i="38"/>
  <c r="F36" i="38"/>
  <c r="B50" i="34"/>
  <c r="B52" i="34" s="1"/>
  <c r="L11" i="38"/>
  <c r="B68" i="36"/>
  <c r="E33" i="30"/>
  <c r="E35" i="30" s="1"/>
  <c r="B19" i="34"/>
  <c r="I36" i="20"/>
  <c r="B4" i="39"/>
  <c r="B11" i="34"/>
  <c r="B13" i="34" s="1"/>
  <c r="H37" i="35"/>
  <c r="G37" i="35"/>
  <c r="J64" i="34"/>
  <c r="D7" i="36"/>
  <c r="B44" i="34"/>
  <c r="F35" i="30"/>
  <c r="D35" i="22"/>
  <c r="G36" i="10"/>
  <c r="F6" i="36"/>
  <c r="I33" i="22"/>
  <c r="I35" i="22" s="1"/>
  <c r="F33" i="22"/>
  <c r="E33" i="22"/>
  <c r="E35" i="22" s="1"/>
  <c r="H33" i="22"/>
  <c r="H35" i="22" s="1"/>
  <c r="N38" i="34"/>
  <c r="I51" i="34"/>
  <c r="F37" i="37"/>
  <c r="E37" i="10"/>
  <c r="E37" i="37"/>
  <c r="I25" i="34"/>
  <c r="G37" i="37"/>
  <c r="J26" i="34"/>
  <c r="F5" i="36"/>
  <c r="I12" i="34"/>
  <c r="G37" i="10"/>
  <c r="V12" i="34"/>
  <c r="V13" i="34" s="1"/>
  <c r="AF41" i="34" l="1"/>
  <c r="AF40" i="34" s="1"/>
  <c r="AF43" i="34"/>
  <c r="AF44" i="34" s="1"/>
  <c r="AF30" i="34"/>
  <c r="AF31" i="34" s="1"/>
  <c r="AF28" i="34"/>
  <c r="AF27" i="34" s="1"/>
  <c r="Q17" i="34"/>
  <c r="E18" i="34"/>
  <c r="Q18" i="34" s="1"/>
  <c r="E14" i="34"/>
  <c r="Q14" i="34" s="1"/>
  <c r="Q15" i="34"/>
  <c r="E68" i="36"/>
  <c r="E69" i="36" s="1"/>
  <c r="E83" i="36" s="1"/>
  <c r="B17" i="39"/>
  <c r="H32" i="19"/>
  <c r="H36" i="19" s="1"/>
  <c r="AJ51" i="34"/>
  <c r="B69" i="36"/>
  <c r="B83" i="36" s="1"/>
  <c r="B82" i="36"/>
  <c r="L12" i="34"/>
  <c r="AJ12" i="34"/>
  <c r="AI12" i="34" s="1"/>
  <c r="K13" i="34"/>
  <c r="K16" i="34" s="1"/>
  <c r="F32" i="36"/>
  <c r="G71" i="36" s="1"/>
  <c r="G72" i="36" s="1"/>
  <c r="G86" i="36" s="1"/>
  <c r="G68" i="36"/>
  <c r="G69" i="36" s="1"/>
  <c r="G83" i="36" s="1"/>
  <c r="D32" i="36"/>
  <c r="E71" i="36" s="1"/>
  <c r="E72" i="36" s="1"/>
  <c r="E86" i="36" s="1"/>
  <c r="B8" i="36"/>
  <c r="B34" i="36" s="1"/>
  <c r="B75" i="36" s="1"/>
  <c r="B76" i="36" s="1"/>
  <c r="F68" i="36"/>
  <c r="F69" i="36" s="1"/>
  <c r="F83" i="36" s="1"/>
  <c r="E32" i="36"/>
  <c r="F71" i="36" s="1"/>
  <c r="F72" i="36" s="1"/>
  <c r="F86" i="36" s="1"/>
  <c r="M39" i="34"/>
  <c r="M53" i="34" s="1"/>
  <c r="AM13" i="34"/>
  <c r="AM31" i="34" s="1"/>
  <c r="AL13" i="34"/>
  <c r="AK13" i="34"/>
  <c r="AK29" i="34" s="1"/>
  <c r="D68" i="36"/>
  <c r="D69" i="36" s="1"/>
  <c r="D83" i="36" s="1"/>
  <c r="B37" i="34"/>
  <c r="B39" i="34" s="1"/>
  <c r="B32" i="36"/>
  <c r="B71" i="36" s="1"/>
  <c r="F36" i="20"/>
  <c r="AK27" i="34"/>
  <c r="D64" i="36"/>
  <c r="C8" i="36"/>
  <c r="AJ38" i="34"/>
  <c r="AI38" i="34" s="1"/>
  <c r="AI39" i="34" s="1"/>
  <c r="AL38" i="34"/>
  <c r="AM38" i="34" s="1"/>
  <c r="AN38" i="34" s="1"/>
  <c r="AK26" i="34"/>
  <c r="K26" i="34"/>
  <c r="AL26" i="34"/>
  <c r="AM26" i="34"/>
  <c r="AJ25" i="34"/>
  <c r="AJ26" i="34" s="1"/>
  <c r="F36" i="37"/>
  <c r="J17" i="34"/>
  <c r="N39" i="34"/>
  <c r="E3" i="37"/>
  <c r="E3" i="22"/>
  <c r="AK31" i="34"/>
  <c r="E3" i="10"/>
  <c r="AK17" i="34"/>
  <c r="AK16" i="34"/>
  <c r="AK15" i="34"/>
  <c r="J15" i="34"/>
  <c r="J16" i="34"/>
  <c r="D71" i="36"/>
  <c r="D40" i="35"/>
  <c r="D39" i="35"/>
  <c r="E8" i="36"/>
  <c r="F64" i="36"/>
  <c r="G39" i="35"/>
  <c r="G40" i="35"/>
  <c r="F40" i="35"/>
  <c r="F39" i="35"/>
  <c r="H40" i="35"/>
  <c r="H39" i="35"/>
  <c r="E39" i="35"/>
  <c r="E40" i="35"/>
  <c r="K64" i="34"/>
  <c r="AK64" i="34"/>
  <c r="I64" i="34"/>
  <c r="J65" i="34"/>
  <c r="K39" i="34"/>
  <c r="B45" i="34"/>
  <c r="J39" i="34"/>
  <c r="I39" i="34"/>
  <c r="AK39" i="34"/>
  <c r="L39" i="34"/>
  <c r="J52" i="34"/>
  <c r="AL39" i="34"/>
  <c r="K52" i="34"/>
  <c r="E64" i="36"/>
  <c r="D8" i="36"/>
  <c r="B19" i="39" s="1"/>
  <c r="H39" i="34"/>
  <c r="AK52" i="34"/>
  <c r="AM39" i="34"/>
  <c r="F35" i="22"/>
  <c r="B31" i="34"/>
  <c r="B32" i="34" s="1"/>
  <c r="H51" i="34"/>
  <c r="I52" i="34"/>
  <c r="M51" i="34"/>
  <c r="L52" i="34"/>
  <c r="F38" i="34"/>
  <c r="F39" i="34" s="1"/>
  <c r="G39" i="34"/>
  <c r="AI51" i="34"/>
  <c r="AJ52" i="34"/>
  <c r="AL52" i="34"/>
  <c r="AM51" i="34"/>
  <c r="AN39" i="34"/>
  <c r="AO38" i="34"/>
  <c r="AO39" i="34" s="1"/>
  <c r="X12" i="34"/>
  <c r="X13" i="34" s="1"/>
  <c r="L13" i="34"/>
  <c r="M12" i="34"/>
  <c r="AM15" i="34"/>
  <c r="G60" i="36"/>
  <c r="F7" i="36"/>
  <c r="AI25" i="34"/>
  <c r="U12" i="34"/>
  <c r="U13" i="34" s="1"/>
  <c r="H12" i="34"/>
  <c r="I13" i="34"/>
  <c r="AL15" i="34"/>
  <c r="AL14" i="34"/>
  <c r="AL16" i="34"/>
  <c r="AL17" i="34"/>
  <c r="AL29" i="34"/>
  <c r="AL27" i="34"/>
  <c r="AL31" i="34"/>
  <c r="AL30" i="34"/>
  <c r="AL28" i="34"/>
  <c r="L26" i="34"/>
  <c r="M25" i="34"/>
  <c r="V18" i="34"/>
  <c r="V15" i="34"/>
  <c r="V14" i="34"/>
  <c r="V17" i="34"/>
  <c r="V16" i="34"/>
  <c r="K15" i="34"/>
  <c r="AN26" i="34"/>
  <c r="AO25" i="34"/>
  <c r="AO26" i="34" s="1"/>
  <c r="I26" i="34"/>
  <c r="H25" i="34"/>
  <c r="W18" i="34"/>
  <c r="W15" i="34"/>
  <c r="W17" i="34"/>
  <c r="W16" i="34"/>
  <c r="W14" i="34"/>
  <c r="AO12" i="34"/>
  <c r="AO13" i="34" s="1"/>
  <c r="AN13" i="34"/>
  <c r="J14" i="34" l="1"/>
  <c r="AK14" i="34"/>
  <c r="AL18" i="34"/>
  <c r="J18" i="34"/>
  <c r="D65" i="36"/>
  <c r="D82" i="36"/>
  <c r="AJ13" i="34"/>
  <c r="K17" i="34"/>
  <c r="K14" i="34"/>
  <c r="K18" i="34"/>
  <c r="AK30" i="34"/>
  <c r="B5" i="39"/>
  <c r="B7" i="39" s="1"/>
  <c r="C5" i="39" s="1"/>
  <c r="B72" i="36"/>
  <c r="B86" i="36" s="1"/>
  <c r="B85" i="36"/>
  <c r="M54" i="34"/>
  <c r="M57" i="34"/>
  <c r="M56" i="34"/>
  <c r="M55" i="34"/>
  <c r="AH38" i="34"/>
  <c r="M40" i="34"/>
  <c r="AJ39" i="34"/>
  <c r="AJ55" i="34" s="1"/>
  <c r="AM17" i="34"/>
  <c r="AM28" i="34"/>
  <c r="AM14" i="34"/>
  <c r="AM27" i="34"/>
  <c r="AM18" i="34"/>
  <c r="AM29" i="34"/>
  <c r="AM30" i="34"/>
  <c r="AM16" i="34"/>
  <c r="M41" i="34"/>
  <c r="H43" i="34"/>
  <c r="M42" i="34"/>
  <c r="M43" i="34"/>
  <c r="N40" i="34"/>
  <c r="B21" i="39"/>
  <c r="C18" i="39" s="1"/>
  <c r="M44" i="34"/>
  <c r="B35" i="36"/>
  <c r="B78" i="36" s="1"/>
  <c r="B79" i="36" s="1"/>
  <c r="AK28" i="34"/>
  <c r="AK18" i="34"/>
  <c r="F21" i="39"/>
  <c r="N42" i="34"/>
  <c r="H44" i="34"/>
  <c r="H42" i="34"/>
  <c r="H56" i="34"/>
  <c r="N43" i="34"/>
  <c r="H40" i="34"/>
  <c r="H41" i="34"/>
  <c r="C35" i="36"/>
  <c r="D78" i="36" s="1"/>
  <c r="D79" i="36" s="1"/>
  <c r="N44" i="34"/>
  <c r="N56" i="34"/>
  <c r="N57" i="34"/>
  <c r="N53" i="34"/>
  <c r="H57" i="34"/>
  <c r="N41" i="34"/>
  <c r="C34" i="36"/>
  <c r="D75" i="36" s="1"/>
  <c r="D76" i="36" s="1"/>
  <c r="E39" i="10"/>
  <c r="G40" i="10"/>
  <c r="B25" i="34"/>
  <c r="B26" i="34" s="1"/>
  <c r="L29" i="34" s="1"/>
  <c r="G36" i="37"/>
  <c r="N54" i="34"/>
  <c r="N55" i="34"/>
  <c r="H55" i="34"/>
  <c r="H53" i="34"/>
  <c r="D39" i="10"/>
  <c r="H6" i="22"/>
  <c r="F6" i="22"/>
  <c r="E6" i="22"/>
  <c r="D6" i="22"/>
  <c r="G6" i="22"/>
  <c r="I6" i="22"/>
  <c r="D72" i="36"/>
  <c r="D86" i="36" s="1"/>
  <c r="D85" i="36"/>
  <c r="J66" i="34"/>
  <c r="J69" i="34"/>
  <c r="J68" i="34"/>
  <c r="J70" i="34"/>
  <c r="J67" i="34"/>
  <c r="I65" i="34"/>
  <c r="H64" i="34"/>
  <c r="K65" i="34"/>
  <c r="L64" i="34"/>
  <c r="F65" i="36"/>
  <c r="F85" i="36"/>
  <c r="F82" i="36"/>
  <c r="AJ64" i="34"/>
  <c r="AL64" i="34"/>
  <c r="AK65" i="34"/>
  <c r="E34" i="36"/>
  <c r="F75" i="36" s="1"/>
  <c r="F76" i="36" s="1"/>
  <c r="B34" i="39"/>
  <c r="E35" i="36"/>
  <c r="F78" i="36" s="1"/>
  <c r="F79" i="36" s="1"/>
  <c r="K54" i="34"/>
  <c r="K40" i="34"/>
  <c r="K55" i="34"/>
  <c r="K56" i="34"/>
  <c r="K44" i="34"/>
  <c r="K53" i="34"/>
  <c r="K41" i="34"/>
  <c r="K42" i="34"/>
  <c r="K43" i="34"/>
  <c r="K57" i="34"/>
  <c r="AJ42" i="34"/>
  <c r="AJ57" i="34"/>
  <c r="L54" i="34"/>
  <c r="L44" i="34"/>
  <c r="L55" i="34"/>
  <c r="L40" i="34"/>
  <c r="L57" i="34"/>
  <c r="L56" i="34"/>
  <c r="L41" i="34"/>
  <c r="L53" i="34"/>
  <c r="L42" i="34"/>
  <c r="L43" i="34"/>
  <c r="AJ40" i="34"/>
  <c r="AJ54" i="34"/>
  <c r="AM41" i="34"/>
  <c r="AM43" i="34"/>
  <c r="AM55" i="34"/>
  <c r="AM42" i="34"/>
  <c r="AM57" i="34"/>
  <c r="AM40" i="34"/>
  <c r="AM44" i="34"/>
  <c r="AM56" i="34"/>
  <c r="AM53" i="34"/>
  <c r="AM54" i="34"/>
  <c r="AJ56" i="34"/>
  <c r="AK42" i="34"/>
  <c r="AK56" i="34"/>
  <c r="AK55" i="34"/>
  <c r="AK41" i="34"/>
  <c r="AK43" i="34"/>
  <c r="AK53" i="34"/>
  <c r="AK54" i="34"/>
  <c r="AK40" i="34"/>
  <c r="AK57" i="34"/>
  <c r="AK44" i="34"/>
  <c r="AL44" i="34"/>
  <c r="AL40" i="34"/>
  <c r="AL53" i="34"/>
  <c r="AL41" i="34"/>
  <c r="AL54" i="34"/>
  <c r="AL57" i="34"/>
  <c r="AL55" i="34"/>
  <c r="AL42" i="34"/>
  <c r="AL56" i="34"/>
  <c r="AL43" i="34"/>
  <c r="H54" i="34"/>
  <c r="D34" i="36"/>
  <c r="E75" i="36" s="1"/>
  <c r="E76" i="36" s="1"/>
  <c r="D35" i="36"/>
  <c r="E78" i="36" s="1"/>
  <c r="E79" i="36" s="1"/>
  <c r="I56" i="34"/>
  <c r="I55" i="34"/>
  <c r="I40" i="34"/>
  <c r="I57" i="34"/>
  <c r="I43" i="34"/>
  <c r="I41" i="34"/>
  <c r="I42" i="34"/>
  <c r="I44" i="34"/>
  <c r="I53" i="34"/>
  <c r="I54" i="34"/>
  <c r="AJ53" i="34"/>
  <c r="E85" i="36"/>
  <c r="E82" i="36"/>
  <c r="E65" i="36"/>
  <c r="J55" i="34"/>
  <c r="J41" i="34"/>
  <c r="J40" i="34"/>
  <c r="J53" i="34"/>
  <c r="J54" i="34"/>
  <c r="J57" i="34"/>
  <c r="J43" i="34"/>
  <c r="J44" i="34"/>
  <c r="J42" i="34"/>
  <c r="J56" i="34"/>
  <c r="E3" i="30"/>
  <c r="E3" i="20"/>
  <c r="E3" i="38"/>
  <c r="G40" i="19"/>
  <c r="G39" i="19"/>
  <c r="F40" i="19"/>
  <c r="F39" i="19"/>
  <c r="F39" i="10"/>
  <c r="F40" i="10"/>
  <c r="F54" i="34"/>
  <c r="F53" i="34"/>
  <c r="F57" i="34"/>
  <c r="F43" i="34"/>
  <c r="F41" i="34"/>
  <c r="F42" i="34"/>
  <c r="F44" i="34"/>
  <c r="F40" i="34"/>
  <c r="F55" i="34"/>
  <c r="F56" i="34"/>
  <c r="AO44" i="34"/>
  <c r="AO54" i="34"/>
  <c r="AO42" i="34"/>
  <c r="AO53" i="34"/>
  <c r="AO55" i="34"/>
  <c r="AO57" i="34"/>
  <c r="AO40" i="34"/>
  <c r="AO41" i="34"/>
  <c r="AO43" i="34"/>
  <c r="AO56" i="34"/>
  <c r="M52" i="34"/>
  <c r="N51" i="34"/>
  <c r="N52" i="34" s="1"/>
  <c r="AH39" i="34"/>
  <c r="AG38" i="34"/>
  <c r="AG39" i="34" s="1"/>
  <c r="AI54" i="34"/>
  <c r="AI55" i="34"/>
  <c r="AI42" i="34"/>
  <c r="AI56" i="34"/>
  <c r="AI53" i="34"/>
  <c r="AI44" i="34"/>
  <c r="AI40" i="34"/>
  <c r="AI43" i="34"/>
  <c r="AI41" i="34"/>
  <c r="AI57" i="34"/>
  <c r="AH51" i="34"/>
  <c r="AI52" i="34"/>
  <c r="H52" i="34"/>
  <c r="G51" i="34"/>
  <c r="AN41" i="34"/>
  <c r="AN42" i="34"/>
  <c r="AN57" i="34"/>
  <c r="AN43" i="34"/>
  <c r="AN55" i="34"/>
  <c r="AN40" i="34"/>
  <c r="AN56" i="34"/>
  <c r="AN53" i="34"/>
  <c r="AN44" i="34"/>
  <c r="AN54" i="34"/>
  <c r="AM52" i="34"/>
  <c r="AN51" i="34"/>
  <c r="G55" i="34"/>
  <c r="G40" i="34"/>
  <c r="G57" i="34"/>
  <c r="G44" i="34"/>
  <c r="G43" i="34"/>
  <c r="G41" i="34"/>
  <c r="G42" i="34"/>
  <c r="G54" i="34"/>
  <c r="G53" i="34"/>
  <c r="G56" i="34"/>
  <c r="X14" i="34"/>
  <c r="X17" i="34"/>
  <c r="X18" i="34"/>
  <c r="X16" i="34"/>
  <c r="X15" i="34"/>
  <c r="G25" i="34"/>
  <c r="H26" i="34"/>
  <c r="AN28" i="34"/>
  <c r="AN31" i="34"/>
  <c r="AN18" i="34"/>
  <c r="AN16" i="34"/>
  <c r="AN15" i="34"/>
  <c r="AN17" i="34"/>
  <c r="AN14" i="34"/>
  <c r="AN27" i="34"/>
  <c r="AN29" i="34"/>
  <c r="AN30" i="34"/>
  <c r="G64" i="36"/>
  <c r="F8" i="36"/>
  <c r="AJ31" i="34"/>
  <c r="AJ28" i="34"/>
  <c r="AJ14" i="34"/>
  <c r="AJ16" i="34"/>
  <c r="AJ29" i="34"/>
  <c r="AJ30" i="34"/>
  <c r="AJ15" i="34"/>
  <c r="AJ17" i="34"/>
  <c r="AJ18" i="34"/>
  <c r="AJ27" i="34"/>
  <c r="I14" i="34"/>
  <c r="I16" i="34"/>
  <c r="I18" i="34"/>
  <c r="I15" i="34"/>
  <c r="I17" i="34"/>
  <c r="T12" i="34"/>
  <c r="T13" i="34" s="1"/>
  <c r="H13" i="34"/>
  <c r="G12" i="34"/>
  <c r="AI26" i="34"/>
  <c r="AH25" i="34"/>
  <c r="AO30" i="34"/>
  <c r="AO14" i="34"/>
  <c r="AO31" i="34"/>
  <c r="AO27" i="34"/>
  <c r="AO18" i="34"/>
  <c r="AO29" i="34"/>
  <c r="AO17" i="34"/>
  <c r="AO15" i="34"/>
  <c r="AO16" i="34"/>
  <c r="AO28" i="34"/>
  <c r="AH12" i="34"/>
  <c r="AI13" i="34"/>
  <c r="M26" i="34"/>
  <c r="N25" i="34"/>
  <c r="N26" i="34" s="1"/>
  <c r="U15" i="34"/>
  <c r="U16" i="34"/>
  <c r="U17" i="34"/>
  <c r="U14" i="34"/>
  <c r="U18" i="34"/>
  <c r="M13" i="34"/>
  <c r="N12" i="34"/>
  <c r="Y12" i="34"/>
  <c r="Y13" i="34" s="1"/>
  <c r="L14" i="34"/>
  <c r="L16" i="34"/>
  <c r="L15" i="34"/>
  <c r="L18" i="34"/>
  <c r="L17" i="34"/>
  <c r="F16" i="39" l="1"/>
  <c r="F7" i="39"/>
  <c r="F2" i="39" s="1"/>
  <c r="AJ41" i="34"/>
  <c r="AJ44" i="34"/>
  <c r="AJ43" i="34"/>
  <c r="C17" i="39"/>
  <c r="C19" i="39"/>
  <c r="I29" i="34"/>
  <c r="L31" i="34"/>
  <c r="L28" i="34"/>
  <c r="I27" i="34"/>
  <c r="L27" i="34"/>
  <c r="I28" i="34"/>
  <c r="L30" i="34"/>
  <c r="I30" i="34"/>
  <c r="I31" i="34"/>
  <c r="D40" i="10"/>
  <c r="G39" i="10"/>
  <c r="E40" i="10"/>
  <c r="H36" i="37"/>
  <c r="J29" i="34"/>
  <c r="J28" i="34"/>
  <c r="J27" i="34"/>
  <c r="J31" i="34"/>
  <c r="J30" i="34"/>
  <c r="K31" i="34"/>
  <c r="K30" i="34"/>
  <c r="K29" i="34"/>
  <c r="K27" i="34"/>
  <c r="K28" i="34"/>
  <c r="E40" i="37"/>
  <c r="E39" i="37"/>
  <c r="E40" i="19"/>
  <c r="E39" i="19"/>
  <c r="I39" i="37"/>
  <c r="G40" i="37"/>
  <c r="G39" i="37"/>
  <c r="D39" i="37"/>
  <c r="D40" i="37"/>
  <c r="D39" i="19"/>
  <c r="D40" i="19"/>
  <c r="F40" i="37"/>
  <c r="F39" i="37"/>
  <c r="I40" i="19"/>
  <c r="I39" i="19"/>
  <c r="H40" i="19"/>
  <c r="H39" i="19"/>
  <c r="H39" i="37"/>
  <c r="K68" i="34"/>
  <c r="K70" i="34"/>
  <c r="K67" i="34"/>
  <c r="K66" i="34"/>
  <c r="K69" i="34"/>
  <c r="AK66" i="34"/>
  <c r="AK67" i="34"/>
  <c r="AK70" i="34"/>
  <c r="AK69" i="34"/>
  <c r="AK68" i="34"/>
  <c r="G64" i="34"/>
  <c r="H65" i="34"/>
  <c r="I70" i="34"/>
  <c r="I68" i="34"/>
  <c r="I67" i="34"/>
  <c r="I66" i="34"/>
  <c r="I69" i="34"/>
  <c r="F36" i="39"/>
  <c r="B36" i="39"/>
  <c r="C34" i="39" s="1"/>
  <c r="AM64" i="34"/>
  <c r="AL65" i="34"/>
  <c r="M64" i="34"/>
  <c r="L65" i="34"/>
  <c r="AI64" i="34"/>
  <c r="AJ65" i="34"/>
  <c r="G6" i="30"/>
  <c r="H6" i="30"/>
  <c r="I6" i="30"/>
  <c r="D6" i="30"/>
  <c r="F6" i="30"/>
  <c r="E6" i="30"/>
  <c r="AG54" i="34"/>
  <c r="AG55" i="34"/>
  <c r="AG41" i="34"/>
  <c r="AG56" i="34"/>
  <c r="AG40" i="34"/>
  <c r="AG43" i="34"/>
  <c r="AG57" i="34"/>
  <c r="AG44" i="34"/>
  <c r="AG42" i="34"/>
  <c r="AG53" i="34"/>
  <c r="AH55" i="34"/>
  <c r="AH54" i="34"/>
  <c r="AH41" i="34"/>
  <c r="AH42" i="34"/>
  <c r="AH44" i="34"/>
  <c r="AH56" i="34"/>
  <c r="AH57" i="34"/>
  <c r="AH53" i="34"/>
  <c r="AH40" i="34"/>
  <c r="AH43" i="34"/>
  <c r="AN52" i="34"/>
  <c r="AO51" i="34"/>
  <c r="AO52" i="34" s="1"/>
  <c r="F51" i="34"/>
  <c r="F52" i="34" s="1"/>
  <c r="G52" i="34"/>
  <c r="AH52" i="34"/>
  <c r="AG51" i="34"/>
  <c r="AG52" i="34" s="1"/>
  <c r="AG25" i="34"/>
  <c r="AG26" i="34" s="1"/>
  <c r="AH26" i="34"/>
  <c r="F34" i="36"/>
  <c r="G75" i="36" s="1"/>
  <c r="G76" i="36" s="1"/>
  <c r="F35" i="36"/>
  <c r="G78" i="36" s="1"/>
  <c r="G79" i="36" s="1"/>
  <c r="F25" i="34"/>
  <c r="F26" i="34" s="1"/>
  <c r="G26" i="34"/>
  <c r="Y14" i="34"/>
  <c r="Y18" i="34"/>
  <c r="Y16" i="34"/>
  <c r="Y15" i="34"/>
  <c r="Y17" i="34"/>
  <c r="F12" i="34"/>
  <c r="G13" i="34"/>
  <c r="S12" i="34"/>
  <c r="S13" i="34" s="1"/>
  <c r="G65" i="36"/>
  <c r="G85" i="36"/>
  <c r="G82" i="36"/>
  <c r="N13" i="34"/>
  <c r="Z12" i="34"/>
  <c r="Z13" i="34" s="1"/>
  <c r="H27" i="34"/>
  <c r="H16" i="34"/>
  <c r="H15" i="34"/>
  <c r="H28" i="34"/>
  <c r="H18" i="34"/>
  <c r="H29" i="34"/>
  <c r="H17" i="34"/>
  <c r="H31" i="34"/>
  <c r="H14" i="34"/>
  <c r="H30" i="34"/>
  <c r="M28" i="34"/>
  <c r="M30" i="34"/>
  <c r="M16" i="34"/>
  <c r="M31" i="34"/>
  <c r="M14" i="34"/>
  <c r="M15" i="34"/>
  <c r="M18" i="34"/>
  <c r="M27" i="34"/>
  <c r="M17" i="34"/>
  <c r="M29" i="34"/>
  <c r="AI29" i="34"/>
  <c r="AI17" i="34"/>
  <c r="AI27" i="34"/>
  <c r="AI28" i="34"/>
  <c r="AI30" i="34"/>
  <c r="AI16" i="34"/>
  <c r="AI31" i="34"/>
  <c r="AI15" i="34"/>
  <c r="AI18" i="34"/>
  <c r="AI14" i="34"/>
  <c r="T16" i="34"/>
  <c r="T17" i="34"/>
  <c r="T15" i="34"/>
  <c r="T18" i="34"/>
  <c r="T14" i="34"/>
  <c r="AH13" i="34"/>
  <c r="AG12" i="34"/>
  <c r="AG13" i="34" s="1"/>
  <c r="C4" i="39"/>
  <c r="C3" i="39"/>
  <c r="C21" i="39" l="1"/>
  <c r="F18" i="39" s="1"/>
  <c r="H40" i="37"/>
  <c r="L70" i="34"/>
  <c r="L68" i="34"/>
  <c r="L69" i="34"/>
  <c r="L66" i="34"/>
  <c r="L67" i="34"/>
  <c r="N64" i="34"/>
  <c r="N65" i="34" s="1"/>
  <c r="M65" i="34"/>
  <c r="AL67" i="34"/>
  <c r="AL69" i="34"/>
  <c r="AL66" i="34"/>
  <c r="AL70" i="34"/>
  <c r="AL68" i="34"/>
  <c r="AM65" i="34"/>
  <c r="AN64" i="34"/>
  <c r="H66" i="34"/>
  <c r="H69" i="34"/>
  <c r="H70" i="34"/>
  <c r="H67" i="34"/>
  <c r="H68" i="34"/>
  <c r="C33" i="39"/>
  <c r="C32" i="39"/>
  <c r="G65" i="34"/>
  <c r="F64" i="34"/>
  <c r="F65" i="34" s="1"/>
  <c r="AJ67" i="34"/>
  <c r="AJ70" i="34"/>
  <c r="AJ69" i="34"/>
  <c r="AJ66" i="34"/>
  <c r="AJ68" i="34"/>
  <c r="F31" i="39"/>
  <c r="AH64" i="34"/>
  <c r="AI65" i="34"/>
  <c r="H40" i="20"/>
  <c r="H39" i="20"/>
  <c r="G39" i="38"/>
  <c r="G40" i="38"/>
  <c r="D40" i="20"/>
  <c r="D39" i="20"/>
  <c r="D39" i="38"/>
  <c r="D40" i="38"/>
  <c r="I40" i="20"/>
  <c r="I39" i="20"/>
  <c r="F40" i="20"/>
  <c r="F39" i="20"/>
  <c r="I39" i="38"/>
  <c r="I40" i="38"/>
  <c r="G39" i="20"/>
  <c r="G40" i="20"/>
  <c r="E39" i="38"/>
  <c r="E40" i="38"/>
  <c r="F39" i="38"/>
  <c r="F40" i="38"/>
  <c r="E40" i="20"/>
  <c r="E39" i="20"/>
  <c r="H40" i="38"/>
  <c r="H39" i="38"/>
  <c r="AG29" i="34"/>
  <c r="AG14" i="34"/>
  <c r="AG16" i="34"/>
  <c r="AG18" i="34"/>
  <c r="AG31" i="34"/>
  <c r="AG17" i="34"/>
  <c r="AG28" i="34"/>
  <c r="AG15" i="34"/>
  <c r="AG30" i="34"/>
  <c r="AG27" i="34"/>
  <c r="AH15" i="34"/>
  <c r="AH29" i="34"/>
  <c r="AH27" i="34"/>
  <c r="AH30" i="34"/>
  <c r="AH31" i="34"/>
  <c r="AH17" i="34"/>
  <c r="AH18" i="34"/>
  <c r="AH14" i="34"/>
  <c r="AH16" i="34"/>
  <c r="AH28" i="34"/>
  <c r="S16" i="34"/>
  <c r="S17" i="34"/>
  <c r="S15" i="34"/>
  <c r="S14" i="34"/>
  <c r="S18" i="34"/>
  <c r="G28" i="34"/>
  <c r="G29" i="34"/>
  <c r="G17" i="34"/>
  <c r="G27" i="34"/>
  <c r="G30" i="34"/>
  <c r="G31" i="34"/>
  <c r="G15" i="34"/>
  <c r="G18" i="34"/>
  <c r="G16" i="34"/>
  <c r="G14" i="34"/>
  <c r="C7" i="39"/>
  <c r="F4" i="39" s="1"/>
  <c r="Z16" i="34"/>
  <c r="Z14" i="34"/>
  <c r="Z17" i="34"/>
  <c r="Z15" i="34"/>
  <c r="Z18" i="34"/>
  <c r="F13" i="34"/>
  <c r="R12" i="34"/>
  <c r="R13" i="34" s="1"/>
  <c r="N16" i="34"/>
  <c r="N15" i="34"/>
  <c r="N29" i="34"/>
  <c r="N17" i="34"/>
  <c r="N31" i="34"/>
  <c r="N30" i="34"/>
  <c r="N14" i="34"/>
  <c r="N18" i="34"/>
  <c r="N28" i="34"/>
  <c r="N27" i="34"/>
  <c r="I36" i="37" l="1"/>
  <c r="I40" i="37"/>
  <c r="M66" i="34"/>
  <c r="M67" i="34"/>
  <c r="M70" i="34"/>
  <c r="M69" i="34"/>
  <c r="M68" i="34"/>
  <c r="C36" i="39"/>
  <c r="F33" i="39" s="1"/>
  <c r="AM69" i="34"/>
  <c r="AM67" i="34"/>
  <c r="AM70" i="34"/>
  <c r="AM66" i="34"/>
  <c r="AM68" i="34"/>
  <c r="AI67" i="34"/>
  <c r="AI69" i="34"/>
  <c r="AI68" i="34"/>
  <c r="AI66" i="34"/>
  <c r="AI70" i="34"/>
  <c r="G70" i="34"/>
  <c r="G68" i="34"/>
  <c r="G67" i="34"/>
  <c r="G69" i="34"/>
  <c r="G66" i="34"/>
  <c r="F68" i="34"/>
  <c r="F70" i="34"/>
  <c r="F69" i="34"/>
  <c r="F67" i="34"/>
  <c r="F66" i="34"/>
  <c r="AO64" i="34"/>
  <c r="AO65" i="34" s="1"/>
  <c r="AN65" i="34"/>
  <c r="AH65" i="34"/>
  <c r="AG64" i="34"/>
  <c r="AG65" i="34" s="1"/>
  <c r="N66" i="34"/>
  <c r="N70" i="34"/>
  <c r="N67" i="34"/>
  <c r="N68" i="34"/>
  <c r="N69" i="34"/>
  <c r="R17" i="34"/>
  <c r="R14" i="34"/>
  <c r="R18" i="34"/>
  <c r="R16" i="34"/>
  <c r="R15" i="34"/>
  <c r="F17" i="34"/>
  <c r="F28" i="34"/>
  <c r="F15" i="34"/>
  <c r="F14" i="34"/>
  <c r="F16" i="34"/>
  <c r="F27" i="34"/>
  <c r="F29" i="34"/>
  <c r="F18" i="34"/>
  <c r="F30" i="34"/>
  <c r="F31" i="34"/>
  <c r="AN68" i="34" l="1"/>
  <c r="AN66" i="34"/>
  <c r="AN67" i="34"/>
  <c r="AN70" i="34"/>
  <c r="AN69" i="34"/>
  <c r="AO66" i="34"/>
  <c r="AO67" i="34"/>
  <c r="AO69" i="34"/>
  <c r="AO70" i="34"/>
  <c r="AO68" i="34"/>
  <c r="AG68" i="34"/>
  <c r="AG70" i="34"/>
  <c r="AG66" i="34"/>
  <c r="AG69" i="34"/>
  <c r="AG67" i="34"/>
  <c r="AH70" i="34"/>
  <c r="AH66" i="34"/>
  <c r="AH69" i="34"/>
  <c r="AH68" i="34"/>
  <c r="AH67" i="34"/>
</calcChain>
</file>

<file path=xl/sharedStrings.xml><?xml version="1.0" encoding="utf-8"?>
<sst xmlns="http://schemas.openxmlformats.org/spreadsheetml/2006/main" count="488" uniqueCount="168">
  <si>
    <t>OOSTELIKE HOEVELD / EASTERN HIGHVELD</t>
  </si>
  <si>
    <t>2026/27 season</t>
  </si>
  <si>
    <t>Datum opgedateer / Date updated</t>
  </si>
  <si>
    <t>Gewas</t>
  </si>
  <si>
    <t>SAFEX pryse (R/ton)</t>
  </si>
  <si>
    <t>Total deductions (R/ton)</t>
  </si>
  <si>
    <t>Geel Mielies / Yellow Maize- Jul 27</t>
  </si>
  <si>
    <t>Sojabone / Soybeans- Mei 27</t>
  </si>
  <si>
    <t>Graansorghum / Grain sorghum</t>
  </si>
  <si>
    <t>ROUNDUP READY MIELIES / MAIZE</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</si>
  <si>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</si>
  <si>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</si>
  <si>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</si>
  <si>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</si>
  <si>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</si>
  <si>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</si>
  <si>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</si>
  <si>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</si>
  <si>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</si>
  <si>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</si>
  <si>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 xml:space="preserve">Aftrekkings / Deductions </t>
  </si>
  <si>
    <t>Produsenteprys/ Producer price (R/ton)</t>
  </si>
  <si>
    <t>BT MIELIES VERMINDERDE BEWERKING / BT MAIZE MIN TILLAGE</t>
  </si>
  <si>
    <t>SOJABONE / SOYBEANS</t>
  </si>
  <si>
    <t>SOJABONE: SENSITIWITEITSANALISE - TOTALE KOSTES ( DIREKTE KOSTE + VASTE KOSTE) R/ton</t>
  </si>
  <si>
    <t>SOJABONE: SENSITIWITEITSANALISE - DIREKTE KOSTE R/ton</t>
  </si>
  <si>
    <t>Huidige</t>
  </si>
  <si>
    <t>SOJABONE VERMINDERDE BEWERKING / SOYBEANS MIN TILLAGE</t>
  </si>
  <si>
    <t>SORGHUM</t>
  </si>
  <si>
    <t>SORGHUM: SENSITIWITEITSANALISE - TOTALE KOSTES ( DIREKTE KOSTE + VASTE KOSTE) R/ton</t>
  </si>
  <si>
    <t>SORGHUM: SENSITIWITEITSANALISE - DIREKTE KOSTE R/ton</t>
  </si>
  <si>
    <t>PRODUKSIEJAAR   2026-27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</si>
  <si>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</si>
  <si>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</si>
  <si>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</si>
  <si>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</si>
  <si>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Direk Toedeelbare veranderlike koste / Direct Allocated Variable costs (R/ha)</t>
  </si>
  <si>
    <t>Opbrengspeil</t>
  </si>
  <si>
    <t>Lopende koste</t>
  </si>
  <si>
    <t>Oorhoofse koste</t>
  </si>
  <si>
    <t>Saad / Seed</t>
  </si>
  <si>
    <t>Kunsmis / Fertiliser</t>
  </si>
  <si>
    <t>Kalk / Lime</t>
  </si>
  <si>
    <t>Brandstof / Fuel</t>
  </si>
  <si>
    <t>Reparasie / Reparation</t>
  </si>
  <si>
    <t>Onkruiddoders / Herbicide</t>
  </si>
  <si>
    <t>Plaagdoder / Pest control</t>
  </si>
  <si>
    <t>Insetversekering / Input insurance</t>
  </si>
  <si>
    <t>Besproeiingskoste / Irrigation costs</t>
  </si>
  <si>
    <t>Graanprysverskansing / Grain hedging</t>
  </si>
  <si>
    <t>Kontrakstroop / Contract Harvesting</t>
  </si>
  <si>
    <t>Oesversekering / Harvest insurance</t>
  </si>
  <si>
    <t>Lugspuit / Aerial spray</t>
  </si>
  <si>
    <t>Losarbeid / Casual labour</t>
  </si>
  <si>
    <t>Droogkoste / Drying cost</t>
  </si>
  <si>
    <t>Verpakking en Pakmateriaal / Packaging and packaging material</t>
  </si>
  <si>
    <t>Produksiekrediet rente /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</si>
  <si>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</si>
  <si>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</si>
  <si>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</si>
  <si>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</si>
  <si>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</si>
  <si>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</si>
  <si>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Safex prys / Safex price - Jul 23</t>
  </si>
  <si>
    <t>BRUTO MARGE / GROSS MARGIN  (R/ha)</t>
  </si>
  <si>
    <t>NETTO MARGE / NETT MARGIN  (R/ha)</t>
  </si>
  <si>
    <r>
      <t>Disclaimer:</t>
    </r>
    <r>
      <rPr>
        <sz val="11"/>
        <rFont val="Calibri"/>
        <family val="2"/>
      </rPr>
      <t xml:space="preserve"> The information herein has been obtained from various sources, the accuracy and/or completeness of which Grain SA does not</t>
    </r>
  </si>
  <si>
    <t>guarantee and for which Grain SA accepts no liability. Any prices or levels contained herein are preliminary and indicative only and do not</t>
  </si>
  <si>
    <t>represent bids or offers. These indications are provided solely for your information and consideration.</t>
  </si>
  <si>
    <t xml:space="preserve">                                        Thank you to the Maize Trust for partially funding this project</t>
  </si>
  <si>
    <t xml:space="preserve">Produsent prys raming vir droëland BT WIT MIELIES VERMINDERDE BEWERKING vir die /                                         Producer price framework for dry land WHITE BT MAIZE MINIMUM TILLAGE for the </t>
  </si>
  <si>
    <t>PRODUKSIEJAAR   2017-18                   PRODUCTION YEAR 2017-18</t>
  </si>
  <si>
    <t>VerminMielies</t>
  </si>
  <si>
    <t>Safex prys / Safex price - Jul 18</t>
  </si>
  <si>
    <t>Soja</t>
  </si>
  <si>
    <t>Safex prys / Safex price - May 23</t>
  </si>
  <si>
    <t xml:space="preserve">Produsent prys raming vir droëland SOJABONE verminderde bewerking  /                          Producer price framework for dry land SOYBEANS minimum tillage </t>
  </si>
  <si>
    <t>PRODUKSIEJAAR   2017-18   PRODUCTION YEAR 2017-18</t>
  </si>
  <si>
    <t>Safex prys / Safex price - May 18</t>
  </si>
  <si>
    <t>PRODUKSIEJAAR   2026-27                    PRODUCTION YEAR 2026-27</t>
  </si>
  <si>
    <t xml:space="preserve">Safex prys / Safex price </t>
  </si>
  <si>
    <t>Saad</t>
  </si>
  <si>
    <t>Kunsmis</t>
  </si>
  <si>
    <t>Kalk</t>
  </si>
  <si>
    <t>Brandstof</t>
  </si>
  <si>
    <t xml:space="preserve">Reparasie </t>
  </si>
  <si>
    <t>Onkruiddoders</t>
  </si>
  <si>
    <t>Plaagdoder</t>
  </si>
  <si>
    <t>Insetversekering</t>
  </si>
  <si>
    <t>Besproeiingskoste</t>
  </si>
  <si>
    <t>Graanprys verskansing</t>
  </si>
  <si>
    <t xml:space="preserve">Kontrakstroop </t>
  </si>
  <si>
    <t>Oesversekering</t>
  </si>
  <si>
    <t>Lugspuit</t>
  </si>
  <si>
    <t>Losarbeid</t>
  </si>
  <si>
    <t>Droogkoste</t>
  </si>
  <si>
    <t>Verpakking en Pakmateriaal</t>
  </si>
  <si>
    <t>Produksiekrediet rente R/ha</t>
  </si>
  <si>
    <t>Column1</t>
  </si>
  <si>
    <t>Column3</t>
  </si>
  <si>
    <t>Column4</t>
  </si>
  <si>
    <t>Column5</t>
  </si>
  <si>
    <t>Column6</t>
  </si>
  <si>
    <t xml:space="preserve">Crop </t>
  </si>
  <si>
    <t>Soybean</t>
  </si>
  <si>
    <t xml:space="preserve">1) INCOME </t>
  </si>
  <si>
    <t>Yield target (ton/ha)</t>
  </si>
  <si>
    <t xml:space="preserve">SAFEX: Estimated Price </t>
  </si>
  <si>
    <t xml:space="preserve">Deductions </t>
  </si>
  <si>
    <t>Net Farm Gate Price</t>
  </si>
  <si>
    <t>GROSS INCOME (R/ha)</t>
  </si>
  <si>
    <t xml:space="preserve">2) VARIABLE EXPENDITURES </t>
  </si>
  <si>
    <t>TOTAL VARIABLE EXPENDITURE (R/ha)</t>
  </si>
  <si>
    <t>TOTAL FIXED COST (R/ha)</t>
  </si>
  <si>
    <t>TOTAL COST (R/ha)</t>
  </si>
  <si>
    <t>3) GROSS MARGIN  (R/ha)</t>
  </si>
  <si>
    <t>4) NETT MARGIN  (R/ha)</t>
  </si>
  <si>
    <t xml:space="preserve">SUMMARY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</si>
  <si>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</si>
  <si>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</si>
  <si>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</si>
  <si>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</si>
  <si>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</si>
  <si>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</si>
  <si>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</si>
  <si>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</si>
  <si>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</si>
  <si>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</si>
  <si>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</si>
  <si>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</si>
  <si>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</si>
  <si>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</si>
  <si>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</si>
  <si>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</si>
  <si>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</si>
  <si>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t>Winsgewendheid: Mielies</t>
  </si>
  <si>
    <t>Pointer</t>
  </si>
  <si>
    <t>Start</t>
  </si>
  <si>
    <t>% NM van tot</t>
  </si>
  <si>
    <t>Veranderlike koste</t>
  </si>
  <si>
    <t>Vaste koste</t>
  </si>
  <si>
    <t>End</t>
  </si>
  <si>
    <t>Totale inkomste</t>
  </si>
  <si>
    <t>Max</t>
  </si>
  <si>
    <t>Totaal</t>
  </si>
  <si>
    <t>Netto Marge</t>
  </si>
  <si>
    <t>Winsgewendheid: Sojabone</t>
  </si>
  <si>
    <t>Winsgewendheid: Sorghum</t>
  </si>
  <si>
    <t>SAFEX Jul'27 WM 1 prys/price  (R/ton)</t>
  </si>
  <si>
    <t>SAFEX Mei'27 Soy prys/price  (R/ton)</t>
  </si>
  <si>
    <t>Contract prys/price  (R/ton)</t>
  </si>
  <si>
    <r>
      <t>Disclaimer:</t>
    </r>
    <r>
      <rPr>
        <sz val="11"/>
        <rFont val="Aptos"/>
        <family val="2"/>
      </rPr>
      <t xml:space="preserve"> The information herein has been obtained from various sources, the accuracy and/or completeness of which Grain SA does not</t>
    </r>
  </si>
  <si>
    <t>Produsent prys raming vir droëland RR MIELIES vir die  /  Producer price framework for dry land RR MAIZE for the</t>
  </si>
  <si>
    <t>Produsent prys raming vir BESPROEIING MIELIES vir die  /   Producer price framework for IRRIGATION MAIZE for the</t>
  </si>
  <si>
    <t>Produsent prys raming vir droëland MIELIES vermin bewerk vir die  /  Producer price framework for dry land MAIZE min tillage for the</t>
  </si>
  <si>
    <t>Produsent prys raming vir droëland SOJABONE vir die / Producer price framework for dry land SOYBEANS for the</t>
  </si>
  <si>
    <t>Produsent prys raming vir droëland SOJABONE vermin bewerk vir die  / Producer price framework for dry land SOYBEANS min tillage for the</t>
  </si>
  <si>
    <t>Produsent prys raming vir droëland GRAANSORGHUM vir die / Producer price framework for dry land GRAIN SORGHUM for the</t>
  </si>
  <si>
    <r>
      <rPr>
        <b/>
        <sz val="11"/>
        <color indexed="30"/>
        <rFont val="Aptos"/>
        <family val="2"/>
      </rPr>
      <t>EASTERN HIGHVELD</t>
    </r>
    <r>
      <rPr>
        <b/>
        <sz val="11"/>
        <color indexed="8"/>
        <rFont val="Aptos"/>
        <family val="2"/>
      </rPr>
      <t xml:space="preserve"> INCOME &amp; COST BUDGETS - SUMMER CROPS 2026/27</t>
    </r>
  </si>
  <si>
    <r>
      <rPr>
        <b/>
        <sz val="11"/>
        <color indexed="8"/>
        <rFont val="Aptos"/>
        <family val="2"/>
      </rPr>
      <t>Disclaimer:</t>
    </r>
    <r>
      <rPr>
        <b/>
        <sz val="11"/>
        <rFont val="Aptos"/>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</si>
  <si>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t>t/ha</t>
  </si>
  <si>
    <t>Soybeans</t>
  </si>
  <si>
    <t>Sorghum</t>
  </si>
  <si>
    <t>2020/21 to 2024/25</t>
  </si>
  <si>
    <t>These averages are based on the Crop estimates data</t>
  </si>
  <si>
    <t>Estimates</t>
  </si>
  <si>
    <t>Yellow maize (Dry land)</t>
  </si>
  <si>
    <t>Mpumalanga crop yields based on the 5-year averages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</si>
</sst>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0_)"/>
    <numFmt numFmtId="170" formatCode="0.0"/>
    <numFmt numFmtId="171" formatCode="_ * #,##0.0_ ;_ * \-#,##0.0_ ;_ * &quot;-&quot;?_ ;_ @_ "/>
    <numFmt numFmtId="172" formatCode="_ * #,##0_ ;_ * \-#,##0_ ;_ * &quot;-&quot;??_ ;_ @_ "/>
    <numFmt numFmtId="173" formatCode="&quot;R&quot;\ #,##0.00"/>
    <numFmt numFmtId="174" formatCode="&quot;R&quot;\ #,##0"/>
    <numFmt numFmtId="175" formatCode="_ [$R-1C09]\ * #,##0.00_ ;_ [$R-1C09]\ * \-#,##0.00_ ;_ [$R-1C09]\ * &quot;-&quot;??_ ;_ @_ "/>
    <numFmt numFmtId="176" formatCode="_-&quot;R&quot;* #,##0_-;\-&quot;R&quot;* #,##0_-;_-&quot;R&quot;* &quot;-&quot;??_-;_-@_-"/>
    <numFmt numFmtId="177" formatCode="[$-F800]dddd\,\ mmmm\ dd\,\ yyyy"/>
  </numFmts>
  <fonts count="45"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u/>
      <sz val="10"/>
      <color indexed="12"/>
      <name val="Courier"/>
      <family val="3"/>
    </font>
    <font>
      <b/>
      <sz val="12"/>
      <name val="Arial"/>
      <family val="2"/>
    </font>
    <font>
      <sz val="12"/>
      <name val="Arial"/>
      <family val="2"/>
    </font>
    <font>
      <sz val="10"/>
      <name val="Segoe UI"/>
      <family val="2"/>
    </font>
    <font>
      <sz val="10"/>
      <name val="Arial"/>
      <family val="2"/>
    </font>
    <font>
      <sz val="10"/>
      <name val="Arial Black"/>
      <family val="2"/>
    </font>
    <font>
      <sz val="8"/>
      <name val="Arial"/>
      <family val="2"/>
    </font>
    <font>
      <sz val="10"/>
      <name val="Arial"/>
      <family val="2"/>
    </font>
    <font>
      <b/>
      <sz val="11"/>
      <name val="Arial"/>
      <family val="2"/>
    </font>
    <font>
      <b/>
      <sz val="11"/>
      <name val="Calibri"/>
      <family val="2"/>
    </font>
    <font>
      <sz val="11"/>
      <name val="Calibri"/>
      <family val="2"/>
    </font>
    <font>
      <sz val="11"/>
      <color indexed="8"/>
      <name val="Calibri"/>
      <family val="2"/>
    </font>
    <font>
      <sz val="10"/>
      <name val="Arial"/>
      <family val="2"/>
    </font>
    <font>
      <u/>
      <sz val="7.5"/>
      <color indexed="12"/>
      <name val="Arial"/>
      <family val="2"/>
    </font>
    <font>
      <sz val="11"/>
      <name val="Times New Roman"/>
      <family val="1"/>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b/>
      <sz val="18"/>
      <color rgb="FF00B050"/>
      <name val="Arial"/>
      <family val="2"/>
    </font>
    <font>
      <b/>
      <sz val="11"/>
      <color rgb="FFFF0000"/>
      <name val="Calibri"/>
      <family val="2"/>
      <scheme val="minor"/>
    </font>
    <font>
      <sz val="10"/>
      <name val="Arial"/>
      <family val="2"/>
    </font>
    <font>
      <sz val="14"/>
      <color theme="1"/>
      <name val="Calibri"/>
      <family val="2"/>
      <scheme val="minor"/>
    </font>
    <font>
      <sz val="14"/>
      <color theme="0"/>
      <name val="Calibri"/>
      <family val="2"/>
      <scheme val="minor"/>
    </font>
    <font>
      <b/>
      <sz val="11"/>
      <color theme="0"/>
      <name val="Aptos"/>
      <family val="2"/>
    </font>
    <font>
      <sz val="11"/>
      <color theme="0"/>
      <name val="Aptos"/>
      <family val="2"/>
    </font>
    <font>
      <b/>
      <sz val="11"/>
      <name val="Aptos"/>
      <family val="2"/>
    </font>
    <font>
      <sz val="11"/>
      <name val="Aptos"/>
      <family val="2"/>
    </font>
    <font>
      <b/>
      <sz val="11"/>
      <color indexed="10"/>
      <name val="Aptos"/>
      <family val="2"/>
    </font>
    <font>
      <sz val="11"/>
      <color rgb="FFFF0000"/>
      <name val="Aptos"/>
      <family val="2"/>
    </font>
    <font>
      <b/>
      <sz val="11"/>
      <color indexed="8"/>
      <name val="Aptos"/>
      <family val="2"/>
    </font>
    <font>
      <b/>
      <sz val="11"/>
      <color theme="1"/>
      <name val="Aptos"/>
      <family val="2"/>
    </font>
    <font>
      <b/>
      <sz val="11"/>
      <color indexed="30"/>
      <name val="Aptos"/>
      <family val="2"/>
    </font>
    <font>
      <b/>
      <sz val="11"/>
      <color rgb="FFFF0000"/>
      <name val="Aptos"/>
      <family val="2"/>
    </font>
    <font>
      <b/>
      <sz val="14"/>
      <color theme="0"/>
      <name val="Calibri"/>
      <family val="2"/>
      <scheme val="minor"/>
    </font>
    <font>
      <u/>
      <sz val="10"/>
      <color theme="10"/>
      <name val="Arial"/>
      <family val="2"/>
    </font>
    <font>
      <i/>
      <sz val="11"/>
      <name val="Aptos"/>
      <family val="2"/>
    </font>
  </fonts>
  <fills count="17">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indexed="9"/>
        <bgColor indexed="9"/>
      </patternFill>
    </fill>
    <fill>
      <patternFill patternType="solid">
        <fgColor rgb="FFF96FDB"/>
        <bgColor indexed="64"/>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theme="0"/>
      </patternFill>
    </fill>
    <fill>
      <patternFill patternType="solid">
        <fgColor theme="0" tint="-0.14999847407452621"/>
        <bgColor indexed="9"/>
      </patternFill>
    </fill>
    <fill>
      <patternFill patternType="solid">
        <fgColor rgb="FF3A6367"/>
        <bgColor indexed="64"/>
      </patternFill>
    </fill>
    <fill>
      <patternFill patternType="solid">
        <fgColor rgb="FFAD9244"/>
        <bgColor indexed="64"/>
      </patternFill>
    </fill>
    <fill>
      <patternFill patternType="solid">
        <fgColor theme="4" tint="-0.249977111117893"/>
        <bgColor indexed="64"/>
      </patternFill>
    </fill>
    <fill>
      <patternFill patternType="solid">
        <fgColor theme="0" tint="-0.14999847407452621"/>
        <bgColor indexed="64"/>
      </patternFill>
    </fill>
  </fills>
  <borders count="49">
    <border>
      <left/>
      <right/>
      <top/>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diagonal/>
    </border>
    <border>
      <left style="thin">
        <color indexed="64"/>
      </left>
      <right/>
      <top/>
      <bottom/>
      <diagonal/>
    </border>
    <border>
      <left/>
      <right/>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top style="double">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127">
    <xf numFmtId="0" fontId="0" fillId="0" borderId="0"/>
    <xf numFmtId="167" fontId="4" fillId="0" borderId="0" applyFont="0" applyFill="0" applyBorder="0" applyAlignment="0" applyProtection="0"/>
    <xf numFmtId="167"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21"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43" fontId="2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4" fillId="0" borderId="0" applyFont="0" applyFill="0" applyBorder="0" applyAlignment="0" applyProtection="0"/>
    <xf numFmtId="166" fontId="21"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4" fillId="0" borderId="0"/>
    <xf numFmtId="0" fontId="9" fillId="0" borderId="0"/>
    <xf numFmtId="0" fontId="4" fillId="0" borderId="0"/>
    <xf numFmtId="0" fontId="12" fillId="0" borderId="0"/>
    <xf numFmtId="0" fontId="4" fillId="0" borderId="0"/>
    <xf numFmtId="0" fontId="4" fillId="0" borderId="0"/>
    <xf numFmtId="0" fontId="9" fillId="0" borderId="0"/>
    <xf numFmtId="0" fontId="12" fillId="0" borderId="0"/>
    <xf numFmtId="0" fontId="22" fillId="0" borderId="0"/>
    <xf numFmtId="0" fontId="22" fillId="0" borderId="0"/>
    <xf numFmtId="0" fontId="4" fillId="0" borderId="0"/>
    <xf numFmtId="0" fontId="22" fillId="0" borderId="0"/>
    <xf numFmtId="0" fontId="22" fillId="0" borderId="0"/>
    <xf numFmtId="0" fontId="20" fillId="0" borderId="0"/>
    <xf numFmtId="0" fontId="4" fillId="0" borderId="0"/>
    <xf numFmtId="0" fontId="22" fillId="0" borderId="0"/>
    <xf numFmtId="0" fontId="21" fillId="0" borderId="0"/>
    <xf numFmtId="0" fontId="22" fillId="0" borderId="0"/>
    <xf numFmtId="0" fontId="4" fillId="0" borderId="0"/>
    <xf numFmtId="0" fontId="4" fillId="0" borderId="0"/>
    <xf numFmtId="0" fontId="22" fillId="0" borderId="0"/>
    <xf numFmtId="0" fontId="22" fillId="0" borderId="0"/>
    <xf numFmtId="0" fontId="4" fillId="0" borderId="0"/>
    <xf numFmtId="0" fontId="22" fillId="0" borderId="0"/>
    <xf numFmtId="0" fontId="22" fillId="0" borderId="0"/>
    <xf numFmtId="0" fontId="4" fillId="0" borderId="0"/>
    <xf numFmtId="0" fontId="21" fillId="0" borderId="0"/>
    <xf numFmtId="0" fontId="12" fillId="0" borderId="0"/>
    <xf numFmtId="0" fontId="12" fillId="0" borderId="0"/>
    <xf numFmtId="0" fontId="21" fillId="0" borderId="0"/>
    <xf numFmtId="0" fontId="4" fillId="0" borderId="0"/>
    <xf numFmtId="0" fontId="9" fillId="0" borderId="0"/>
    <xf numFmtId="0" fontId="12" fillId="0" borderId="0"/>
    <xf numFmtId="0" fontId="9"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4" fillId="0" borderId="0" applyFont="0" applyFill="0" applyBorder="0" applyAlignment="0" applyProtection="0"/>
    <xf numFmtId="0" fontId="2" fillId="0" borderId="0"/>
    <xf numFmtId="9" fontId="29" fillId="0" borderId="0" applyFont="0" applyFill="0" applyBorder="0" applyAlignment="0" applyProtection="0"/>
    <xf numFmtId="0" fontId="43" fillId="0" borderId="0" applyNumberFormat="0" applyFill="0" applyBorder="0" applyAlignment="0" applyProtection="0"/>
  </cellStyleXfs>
  <cellXfs count="402">
    <xf numFmtId="0" fontId="0" fillId="0" borderId="0" xfId="0"/>
    <xf numFmtId="0" fontId="4" fillId="0" borderId="0" xfId="0" applyFont="1" applyProtection="1">
      <protection hidden="1"/>
    </xf>
    <xf numFmtId="0" fontId="3" fillId="2" borderId="1" xfId="0" applyFont="1" applyFill="1" applyBorder="1" applyProtection="1">
      <protection hidden="1"/>
    </xf>
    <xf numFmtId="0" fontId="4" fillId="0" borderId="2" xfId="0" applyFont="1" applyBorder="1" applyProtection="1">
      <protection hidden="1"/>
    </xf>
    <xf numFmtId="0" fontId="4" fillId="3" borderId="3" xfId="0" applyFont="1" applyFill="1" applyBorder="1" applyProtection="1">
      <protection hidden="1"/>
    </xf>
    <xf numFmtId="0" fontId="3" fillId="0" borderId="1" xfId="0" applyFont="1" applyBorder="1" applyAlignment="1" applyProtection="1">
      <alignment horizontal="centerContinuous"/>
      <protection hidden="1"/>
    </xf>
    <xf numFmtId="0" fontId="3" fillId="0" borderId="1" xfId="0" applyFont="1" applyBorder="1" applyAlignment="1" applyProtection="1">
      <alignment horizontal="left"/>
      <protection hidden="1"/>
    </xf>
    <xf numFmtId="0" fontId="4" fillId="0" borderId="1" xfId="0" applyFont="1" applyBorder="1" applyAlignment="1" applyProtection="1">
      <alignment horizontal="centerContinuous"/>
      <protection hidden="1"/>
    </xf>
    <xf numFmtId="0" fontId="4" fillId="0" borderId="5" xfId="0" applyFont="1" applyBorder="1" applyProtection="1">
      <protection hidden="1"/>
    </xf>
    <xf numFmtId="0" fontId="3" fillId="2" borderId="3" xfId="0" applyFont="1" applyFill="1" applyBorder="1" applyProtection="1">
      <protection hidden="1"/>
    </xf>
    <xf numFmtId="0" fontId="7" fillId="0" borderId="7" xfId="0" applyFont="1" applyBorder="1" applyAlignment="1" applyProtection="1">
      <alignment horizontal="left"/>
      <protection hidden="1"/>
    </xf>
    <xf numFmtId="0" fontId="7" fillId="0" borderId="5" xfId="0" applyFont="1" applyBorder="1" applyAlignment="1" applyProtection="1">
      <alignment horizontal="left"/>
      <protection hidden="1"/>
    </xf>
    <xf numFmtId="0" fontId="8" fillId="0" borderId="5" xfId="0" applyFont="1" applyBorder="1" applyProtection="1">
      <protection hidden="1"/>
    </xf>
    <xf numFmtId="0" fontId="4" fillId="3" borderId="1" xfId="0" applyFont="1" applyFill="1" applyBorder="1" applyProtection="1">
      <protection hidden="1"/>
    </xf>
    <xf numFmtId="0" fontId="5" fillId="0" borderId="1" xfId="0" applyFont="1" applyBorder="1" applyProtection="1">
      <protection hidden="1"/>
    </xf>
    <xf numFmtId="0" fontId="4" fillId="0" borderId="3" xfId="0" applyFont="1" applyBorder="1" applyProtection="1">
      <protection hidden="1"/>
    </xf>
    <xf numFmtId="169" fontId="3" fillId="5" borderId="4" xfId="0" applyNumberFormat="1" applyFont="1" applyFill="1" applyBorder="1" applyAlignment="1" applyProtection="1">
      <alignment horizontal="right"/>
      <protection hidden="1"/>
    </xf>
    <xf numFmtId="0" fontId="4" fillId="3" borderId="4" xfId="0" applyFont="1" applyFill="1" applyBorder="1" applyProtection="1">
      <protection hidden="1"/>
    </xf>
    <xf numFmtId="165" fontId="3" fillId="0" borderId="0" xfId="0" applyNumberFormat="1" applyFont="1" applyProtection="1">
      <protection hidden="1"/>
    </xf>
    <xf numFmtId="0" fontId="3" fillId="3" borderId="1" xfId="0" applyFont="1" applyFill="1" applyBorder="1" applyProtection="1">
      <protection hidden="1"/>
    </xf>
    <xf numFmtId="167" fontId="3" fillId="0" borderId="8" xfId="0" applyNumberFormat="1" applyFont="1" applyBorder="1" applyProtection="1">
      <protection hidden="1"/>
    </xf>
    <xf numFmtId="167" fontId="3" fillId="0" borderId="9" xfId="0" applyNumberFormat="1" applyFont="1" applyBorder="1" applyProtection="1">
      <protection hidden="1"/>
    </xf>
    <xf numFmtId="167" fontId="3" fillId="4" borderId="4" xfId="0" applyNumberFormat="1" applyFont="1" applyFill="1" applyBorder="1" applyProtection="1">
      <protection hidden="1"/>
    </xf>
    <xf numFmtId="167" fontId="3" fillId="5" borderId="6" xfId="0" applyNumberFormat="1" applyFont="1" applyFill="1" applyBorder="1" applyProtection="1">
      <protection hidden="1"/>
    </xf>
    <xf numFmtId="167" fontId="3" fillId="3" borderId="4" xfId="0" applyNumberFormat="1" applyFont="1" applyFill="1" applyBorder="1" applyProtection="1">
      <protection hidden="1"/>
    </xf>
    <xf numFmtId="167" fontId="3" fillId="0" borderId="6" xfId="0" applyNumberFormat="1" applyFont="1" applyBorder="1" applyProtection="1">
      <protection hidden="1"/>
    </xf>
    <xf numFmtId="167" fontId="3" fillId="4" borderId="4" xfId="0" applyNumberFormat="1" applyFont="1" applyFill="1" applyBorder="1" applyAlignment="1" applyProtection="1">
      <alignment horizontal="right"/>
      <protection hidden="1"/>
    </xf>
    <xf numFmtId="167" fontId="3" fillId="3" borderId="1" xfId="0" applyNumberFormat="1" applyFont="1" applyFill="1" applyBorder="1" applyAlignment="1" applyProtection="1">
      <alignment horizontal="left"/>
      <protection hidden="1"/>
    </xf>
    <xf numFmtId="171" fontId="3" fillId="5" borderId="4" xfId="0" applyNumberFormat="1" applyFont="1" applyFill="1" applyBorder="1" applyProtection="1">
      <protection hidden="1"/>
    </xf>
    <xf numFmtId="0" fontId="4" fillId="0" borderId="0" xfId="67"/>
    <xf numFmtId="0" fontId="7" fillId="0" borderId="0" xfId="67" applyFont="1"/>
    <xf numFmtId="0" fontId="4" fillId="0" borderId="10" xfId="67" applyBorder="1" applyAlignment="1">
      <alignment horizontal="center" vertical="center" wrapText="1"/>
    </xf>
    <xf numFmtId="0" fontId="4" fillId="0" borderId="1" xfId="67" applyBorder="1" applyAlignment="1">
      <alignment horizontal="center" vertical="center" wrapText="1"/>
    </xf>
    <xf numFmtId="0" fontId="25" fillId="5" borderId="4" xfId="67" applyFont="1" applyFill="1" applyBorder="1" applyAlignment="1">
      <alignment horizontal="center" vertical="center"/>
    </xf>
    <xf numFmtId="0" fontId="26" fillId="5" borderId="4" xfId="67" applyFont="1" applyFill="1" applyBorder="1" applyAlignment="1">
      <alignment horizontal="center" vertical="center"/>
    </xf>
    <xf numFmtId="0" fontId="25" fillId="5" borderId="1" xfId="67" applyFont="1" applyFill="1" applyBorder="1" applyAlignment="1">
      <alignment horizontal="center" vertical="center"/>
    </xf>
    <xf numFmtId="0" fontId="3" fillId="5" borderId="4" xfId="67" applyFont="1" applyFill="1" applyBorder="1" applyAlignment="1">
      <alignment horizontal="center" vertical="center"/>
    </xf>
    <xf numFmtId="174" fontId="25" fillId="5" borderId="4" xfId="67" applyNumberFormat="1" applyFont="1" applyFill="1" applyBorder="1" applyAlignment="1">
      <alignment horizontal="center" vertical="center"/>
    </xf>
    <xf numFmtId="0" fontId="3" fillId="0" borderId="11" xfId="67" applyFont="1" applyBorder="1" applyAlignment="1">
      <alignment horizontal="center" vertical="center"/>
    </xf>
    <xf numFmtId="174" fontId="25" fillId="0" borderId="11" xfId="67" applyNumberFormat="1" applyFont="1" applyBorder="1" applyAlignment="1">
      <alignment horizontal="center" vertical="center"/>
    </xf>
    <xf numFmtId="0" fontId="25" fillId="0" borderId="11" xfId="67" applyFont="1" applyBorder="1" applyAlignment="1">
      <alignment horizontal="center" vertical="center"/>
    </xf>
    <xf numFmtId="170" fontId="3" fillId="0" borderId="10" xfId="67" applyNumberFormat="1" applyFont="1" applyBorder="1" applyAlignment="1">
      <alignment horizontal="center" vertical="center"/>
    </xf>
    <xf numFmtId="1" fontId="3" fillId="7" borderId="12" xfId="67" applyNumberFormat="1" applyFont="1" applyFill="1" applyBorder="1" applyAlignment="1">
      <alignment horizontal="center" vertical="center"/>
    </xf>
    <xf numFmtId="1" fontId="3" fillId="7" borderId="13" xfId="67" applyNumberFormat="1" applyFont="1" applyFill="1" applyBorder="1" applyAlignment="1">
      <alignment horizontal="center" vertical="center"/>
    </xf>
    <xf numFmtId="1" fontId="3" fillId="8" borderId="13" xfId="67" applyNumberFormat="1" applyFont="1" applyFill="1" applyBorder="1" applyAlignment="1">
      <alignment horizontal="center" vertical="center"/>
    </xf>
    <xf numFmtId="1" fontId="3" fillId="8" borderId="14" xfId="67" applyNumberFormat="1" applyFont="1" applyFill="1" applyBorder="1" applyAlignment="1">
      <alignment horizontal="center" vertical="center"/>
    </xf>
    <xf numFmtId="1" fontId="3" fillId="7" borderId="15" xfId="67" applyNumberFormat="1" applyFont="1" applyFill="1" applyBorder="1" applyAlignment="1">
      <alignment horizontal="center" vertical="center"/>
    </xf>
    <xf numFmtId="1" fontId="3" fillId="7" borderId="16" xfId="67" applyNumberFormat="1" applyFont="1" applyFill="1" applyBorder="1" applyAlignment="1">
      <alignment horizontal="center" vertical="center"/>
    </xf>
    <xf numFmtId="1" fontId="3" fillId="8" borderId="16" xfId="67" applyNumberFormat="1" applyFont="1" applyFill="1" applyBorder="1" applyAlignment="1">
      <alignment horizontal="center" vertical="center"/>
    </xf>
    <xf numFmtId="1" fontId="3" fillId="8" borderId="17" xfId="67" applyNumberFormat="1" applyFont="1" applyFill="1" applyBorder="1" applyAlignment="1">
      <alignment horizontal="center" vertical="center"/>
    </xf>
    <xf numFmtId="170" fontId="25" fillId="0" borderId="10" xfId="67" applyNumberFormat="1" applyFont="1" applyBorder="1" applyAlignment="1">
      <alignment horizontal="center" vertical="center"/>
    </xf>
    <xf numFmtId="1" fontId="3" fillId="7" borderId="18" xfId="67" applyNumberFormat="1" applyFont="1" applyFill="1" applyBorder="1" applyAlignment="1">
      <alignment horizontal="center" vertical="center"/>
    </xf>
    <xf numFmtId="1" fontId="3" fillId="7" borderId="19" xfId="67" applyNumberFormat="1" applyFont="1" applyFill="1" applyBorder="1" applyAlignment="1">
      <alignment horizontal="center" vertical="center"/>
    </xf>
    <xf numFmtId="1" fontId="3" fillId="8" borderId="19" xfId="67" applyNumberFormat="1" applyFont="1" applyFill="1" applyBorder="1" applyAlignment="1">
      <alignment horizontal="center" vertical="center"/>
    </xf>
    <xf numFmtId="1" fontId="3" fillId="8" borderId="20" xfId="67" applyNumberFormat="1" applyFont="1" applyFill="1" applyBorder="1" applyAlignment="1">
      <alignment horizontal="center" vertical="center"/>
    </xf>
    <xf numFmtId="0" fontId="11" fillId="0" borderId="0" xfId="67" applyFont="1" applyAlignment="1">
      <alignment horizontal="center" vertical="center" textRotation="90" wrapText="1"/>
    </xf>
    <xf numFmtId="170" fontId="11" fillId="0" borderId="0" xfId="67" applyNumberFormat="1" applyFont="1" applyAlignment="1">
      <alignment horizontal="center" vertical="center"/>
    </xf>
    <xf numFmtId="1" fontId="11" fillId="0" borderId="0" xfId="67" applyNumberFormat="1" applyFont="1" applyAlignment="1">
      <alignment horizontal="center" vertical="center"/>
    </xf>
    <xf numFmtId="172" fontId="3" fillId="0" borderId="11" xfId="67" applyNumberFormat="1" applyFont="1" applyBorder="1" applyAlignment="1">
      <alignment horizontal="center" vertical="center"/>
    </xf>
    <xf numFmtId="0" fontId="3" fillId="3" borderId="10" xfId="32" applyFont="1" applyFill="1" applyBorder="1" applyAlignment="1" applyProtection="1">
      <alignment horizontal="left"/>
      <protection hidden="1"/>
    </xf>
    <xf numFmtId="0" fontId="3" fillId="3" borderId="1" xfId="32" applyFont="1" applyFill="1" applyBorder="1" applyAlignment="1" applyProtection="1">
      <alignment horizontal="left"/>
      <protection hidden="1"/>
    </xf>
    <xf numFmtId="0" fontId="4" fillId="3" borderId="3" xfId="32" applyFill="1" applyBorder="1" applyProtection="1">
      <protection hidden="1"/>
    </xf>
    <xf numFmtId="0" fontId="3" fillId="0" borderId="10" xfId="32" applyFont="1" applyBorder="1" applyAlignment="1" applyProtection="1">
      <alignment horizontal="left"/>
      <protection hidden="1"/>
    </xf>
    <xf numFmtId="0" fontId="3" fillId="4" borderId="10" xfId="32" applyFont="1" applyFill="1" applyBorder="1" applyAlignment="1" applyProtection="1">
      <alignment horizontal="left"/>
      <protection hidden="1"/>
    </xf>
    <xf numFmtId="0" fontId="3" fillId="0" borderId="21" xfId="32" applyFont="1" applyBorder="1" applyAlignment="1" applyProtection="1">
      <alignment horizontal="left"/>
      <protection hidden="1"/>
    </xf>
    <xf numFmtId="0" fontId="3" fillId="0" borderId="22" xfId="32" applyFont="1" applyBorder="1" applyAlignment="1" applyProtection="1">
      <alignment horizontal="left"/>
      <protection hidden="1"/>
    </xf>
    <xf numFmtId="0" fontId="3" fillId="0" borderId="0" xfId="32" applyFont="1" applyAlignment="1" applyProtection="1">
      <alignment horizontal="left"/>
      <protection hidden="1"/>
    </xf>
    <xf numFmtId="0" fontId="3" fillId="0" borderId="23" xfId="32" applyFont="1" applyBorder="1" applyAlignment="1" applyProtection="1">
      <alignment horizontal="left"/>
      <protection hidden="1"/>
    </xf>
    <xf numFmtId="0" fontId="3" fillId="0" borderId="24" xfId="32" applyFont="1" applyBorder="1" applyAlignment="1" applyProtection="1">
      <alignment horizontal="left"/>
      <protection hidden="1"/>
    </xf>
    <xf numFmtId="0" fontId="3" fillId="0" borderId="25" xfId="32" applyFont="1" applyBorder="1" applyAlignment="1" applyProtection="1">
      <alignment horizontal="left"/>
      <protection hidden="1"/>
    </xf>
    <xf numFmtId="0" fontId="3" fillId="5" borderId="22" xfId="32" applyFont="1" applyFill="1" applyBorder="1" applyAlignment="1" applyProtection="1">
      <alignment horizontal="left"/>
      <protection hidden="1"/>
    </xf>
    <xf numFmtId="0" fontId="3" fillId="5" borderId="0" xfId="32" applyFont="1" applyFill="1" applyAlignment="1" applyProtection="1">
      <alignment horizontal="left"/>
      <protection hidden="1"/>
    </xf>
    <xf numFmtId="0" fontId="3" fillId="0" borderId="1" xfId="32" applyFont="1" applyBorder="1" applyAlignment="1" applyProtection="1">
      <alignment horizontal="left"/>
      <protection hidden="1"/>
    </xf>
    <xf numFmtId="0" fontId="3" fillId="4" borderId="1" xfId="32" applyFont="1" applyFill="1" applyBorder="1" applyAlignment="1" applyProtection="1">
      <alignment horizontal="left"/>
      <protection hidden="1"/>
    </xf>
    <xf numFmtId="168" fontId="3" fillId="4" borderId="3" xfId="32" applyNumberFormat="1" applyFont="1" applyFill="1" applyBorder="1" applyAlignment="1" applyProtection="1">
      <alignment horizontal="left"/>
      <protection hidden="1"/>
    </xf>
    <xf numFmtId="0" fontId="4" fillId="5" borderId="2" xfId="32" applyFill="1" applyBorder="1" applyProtection="1">
      <protection hidden="1"/>
    </xf>
    <xf numFmtId="0" fontId="4" fillId="5" borderId="5" xfId="32" applyFill="1" applyBorder="1" applyProtection="1">
      <protection hidden="1"/>
    </xf>
    <xf numFmtId="0" fontId="16" fillId="5" borderId="7" xfId="32" applyFont="1" applyFill="1" applyBorder="1" applyAlignment="1">
      <alignment vertical="center"/>
    </xf>
    <xf numFmtId="0" fontId="4" fillId="5" borderId="26" xfId="32" applyFill="1" applyBorder="1" applyProtection="1">
      <protection hidden="1"/>
    </xf>
    <xf numFmtId="0" fontId="4" fillId="5" borderId="0" xfId="32" applyFill="1" applyProtection="1">
      <protection hidden="1"/>
    </xf>
    <xf numFmtId="0" fontId="16" fillId="5" borderId="22" xfId="32" applyFont="1" applyFill="1" applyBorder="1" applyAlignment="1">
      <alignment vertical="center"/>
    </xf>
    <xf numFmtId="0" fontId="4" fillId="5" borderId="27" xfId="32" applyFill="1" applyBorder="1" applyProtection="1">
      <protection hidden="1"/>
    </xf>
    <xf numFmtId="0" fontId="4" fillId="5" borderId="28" xfId="32" applyFill="1" applyBorder="1" applyProtection="1">
      <protection hidden="1"/>
    </xf>
    <xf numFmtId="0" fontId="15" fillId="5" borderId="29" xfId="32" applyFont="1" applyFill="1" applyBorder="1" applyAlignment="1">
      <alignment vertical="center"/>
    </xf>
    <xf numFmtId="0" fontId="4" fillId="0" borderId="0" xfId="32"/>
    <xf numFmtId="173" fontId="25" fillId="0" borderId="11" xfId="67" applyNumberFormat="1" applyFont="1" applyBorder="1" applyAlignment="1">
      <alignment horizontal="center" vertical="center"/>
    </xf>
    <xf numFmtId="0" fontId="24" fillId="0" borderId="0" xfId="48" applyFont="1"/>
    <xf numFmtId="167" fontId="24" fillId="0" borderId="0" xfId="48" applyNumberFormat="1" applyFont="1"/>
    <xf numFmtId="0" fontId="4" fillId="9" borderId="0" xfId="67" applyFill="1"/>
    <xf numFmtId="0" fontId="7" fillId="9" borderId="0" xfId="67" applyFont="1" applyFill="1"/>
    <xf numFmtId="0" fontId="4" fillId="9" borderId="0" xfId="34" applyFill="1"/>
    <xf numFmtId="170" fontId="4" fillId="9" borderId="0" xfId="34" applyNumberFormat="1" applyFill="1" applyAlignment="1">
      <alignment horizontal="center"/>
    </xf>
    <xf numFmtId="0" fontId="3" fillId="9" borderId="0" xfId="32" applyFont="1" applyFill="1"/>
    <xf numFmtId="2" fontId="3" fillId="9" borderId="0" xfId="32" applyNumberFormat="1" applyFont="1" applyFill="1" applyAlignment="1">
      <alignment horizontal="center"/>
    </xf>
    <xf numFmtId="0" fontId="4" fillId="9" borderId="0" xfId="32" applyFill="1"/>
    <xf numFmtId="170" fontId="4" fillId="9" borderId="0" xfId="32" applyNumberFormat="1" applyFill="1" applyAlignment="1">
      <alignment horizontal="center"/>
    </xf>
    <xf numFmtId="0" fontId="23" fillId="9" borderId="0" xfId="34" applyFont="1" applyFill="1"/>
    <xf numFmtId="174" fontId="23" fillId="9" borderId="0" xfId="34" applyNumberFormat="1" applyFont="1" applyFill="1" applyAlignment="1">
      <alignment horizontal="center"/>
    </xf>
    <xf numFmtId="174" fontId="23" fillId="9" borderId="0" xfId="37" applyNumberFormat="1" applyFont="1" applyFill="1" applyAlignment="1">
      <alignment horizontal="center"/>
    </xf>
    <xf numFmtId="14" fontId="3" fillId="9" borderId="0" xfId="67" applyNumberFormat="1" applyFont="1" applyFill="1"/>
    <xf numFmtId="167" fontId="4" fillId="9" borderId="0" xfId="67" applyNumberFormat="1" applyFill="1" applyAlignment="1">
      <alignment horizontal="center"/>
    </xf>
    <xf numFmtId="167" fontId="3" fillId="9" borderId="0" xfId="67" applyNumberFormat="1" applyFont="1" applyFill="1" applyAlignment="1">
      <alignment horizontal="center"/>
    </xf>
    <xf numFmtId="0" fontId="3" fillId="9" borderId="0" xfId="67" applyFont="1" applyFill="1" applyAlignment="1">
      <alignment horizontal="left" vertical="center" wrapText="1"/>
    </xf>
    <xf numFmtId="167" fontId="4" fillId="9" borderId="0" xfId="67" applyNumberFormat="1" applyFill="1" applyAlignment="1">
      <alignment horizontal="center" vertical="center"/>
    </xf>
    <xf numFmtId="0" fontId="3" fillId="9" borderId="0" xfId="67" applyFont="1" applyFill="1" applyAlignment="1">
      <alignment horizontal="center" vertical="center"/>
    </xf>
    <xf numFmtId="0" fontId="4" fillId="9" borderId="0" xfId="67" applyFill="1" applyAlignment="1">
      <alignment horizontal="center" vertical="center"/>
    </xf>
    <xf numFmtId="2" fontId="4" fillId="9" borderId="0" xfId="67" applyNumberFormat="1" applyFill="1" applyAlignment="1">
      <alignment horizontal="center" vertical="center"/>
    </xf>
    <xf numFmtId="167" fontId="4" fillId="9" borderId="0" xfId="67" applyNumberFormat="1" applyFill="1" applyAlignment="1">
      <alignment horizontal="center" vertical="center" wrapText="1"/>
    </xf>
    <xf numFmtId="0" fontId="27" fillId="9" borderId="0" xfId="67" applyFont="1" applyFill="1"/>
    <xf numFmtId="0" fontId="4" fillId="9" borderId="0" xfId="37" applyFill="1"/>
    <xf numFmtId="174" fontId="28" fillId="9" borderId="0" xfId="34" applyNumberFormat="1" applyFont="1" applyFill="1" applyAlignment="1" applyProtection="1">
      <alignment horizontal="center"/>
      <protection locked="0"/>
    </xf>
    <xf numFmtId="0" fontId="4" fillId="9" borderId="0" xfId="67" applyFill="1" applyAlignment="1">
      <alignment horizontal="left" vertical="center"/>
    </xf>
    <xf numFmtId="0" fontId="3" fillId="9" borderId="0" xfId="67" applyFont="1" applyFill="1" applyAlignment="1">
      <alignment horizontal="left" vertical="center"/>
    </xf>
    <xf numFmtId="167" fontId="25" fillId="9" borderId="0" xfId="67" applyNumberFormat="1" applyFont="1" applyFill="1" applyAlignment="1" applyProtection="1">
      <alignment horizontal="center"/>
      <protection locked="0"/>
    </xf>
    <xf numFmtId="0" fontId="4" fillId="9" borderId="0" xfId="67" applyFill="1" applyAlignment="1">
      <alignment horizontal="left" vertical="center" wrapText="1"/>
    </xf>
    <xf numFmtId="0" fontId="3" fillId="9" borderId="0" xfId="34" applyFont="1" applyFill="1" applyProtection="1">
      <protection hidden="1"/>
    </xf>
    <xf numFmtId="0" fontId="3" fillId="9" borderId="0" xfId="67" applyFont="1" applyFill="1" applyAlignment="1">
      <alignment horizontal="center"/>
    </xf>
    <xf numFmtId="0" fontId="4" fillId="9" borderId="0" xfId="67" applyFill="1" applyProtection="1">
      <protection locked="0"/>
    </xf>
    <xf numFmtId="174" fontId="28" fillId="9" borderId="0" xfId="37" applyNumberFormat="1" applyFont="1" applyFill="1" applyAlignment="1" applyProtection="1">
      <alignment horizontal="center"/>
      <protection locked="0"/>
    </xf>
    <xf numFmtId="0" fontId="23" fillId="9" borderId="34" xfId="34" applyFont="1" applyFill="1" applyBorder="1"/>
    <xf numFmtId="0" fontId="23" fillId="9" borderId="34" xfId="34" applyFont="1" applyFill="1" applyBorder="1" applyAlignment="1">
      <alignment horizontal="center" wrapText="1"/>
    </xf>
    <xf numFmtId="0" fontId="23" fillId="9" borderId="34" xfId="37" applyFont="1" applyFill="1" applyBorder="1" applyAlignment="1">
      <alignment horizontal="center" wrapText="1"/>
    </xf>
    <xf numFmtId="0" fontId="3" fillId="9" borderId="37" xfId="34" applyFont="1" applyFill="1" applyBorder="1" applyProtection="1">
      <protection hidden="1"/>
    </xf>
    <xf numFmtId="14" fontId="3" fillId="9" borderId="37" xfId="67" applyNumberFormat="1" applyFont="1" applyFill="1" applyBorder="1"/>
    <xf numFmtId="173" fontId="4" fillId="9" borderId="0" xfId="67" applyNumberFormat="1" applyFill="1" applyAlignment="1">
      <alignment horizontal="right"/>
    </xf>
    <xf numFmtId="173" fontId="3" fillId="9" borderId="25" xfId="67" applyNumberFormat="1" applyFont="1" applyFill="1" applyBorder="1" applyAlignment="1">
      <alignment horizontal="right"/>
    </xf>
    <xf numFmtId="0" fontId="2" fillId="0" borderId="0" xfId="124"/>
    <xf numFmtId="2" fontId="25" fillId="0" borderId="10" xfId="67" applyNumberFormat="1" applyFont="1" applyBorder="1" applyAlignment="1">
      <alignment horizontal="center" vertical="center"/>
    </xf>
    <xf numFmtId="0" fontId="30" fillId="0" borderId="22" xfId="124" applyFont="1" applyBorder="1"/>
    <xf numFmtId="0" fontId="30" fillId="0" borderId="0" xfId="124" applyFont="1"/>
    <xf numFmtId="0" fontId="30" fillId="0" borderId="26" xfId="124" applyFont="1" applyBorder="1"/>
    <xf numFmtId="1" fontId="30" fillId="0" borderId="26" xfId="124" applyNumberFormat="1" applyFont="1" applyBorder="1"/>
    <xf numFmtId="2" fontId="30" fillId="0" borderId="0" xfId="124" applyNumberFormat="1" applyFont="1"/>
    <xf numFmtId="1" fontId="30" fillId="0" borderId="0" xfId="124" applyNumberFormat="1" applyFont="1"/>
    <xf numFmtId="0" fontId="30" fillId="0" borderId="7" xfId="124" applyFont="1" applyBorder="1"/>
    <xf numFmtId="1" fontId="30" fillId="0" borderId="5" xfId="124" applyNumberFormat="1" applyFont="1" applyBorder="1"/>
    <xf numFmtId="0" fontId="30" fillId="0" borderId="2" xfId="124" applyFont="1" applyBorder="1"/>
    <xf numFmtId="0" fontId="30" fillId="0" borderId="5" xfId="124" applyFont="1" applyBorder="1"/>
    <xf numFmtId="1" fontId="30" fillId="0" borderId="2" xfId="124" applyNumberFormat="1" applyFont="1" applyBorder="1"/>
    <xf numFmtId="0" fontId="1" fillId="9" borderId="0" xfId="0" applyFont="1" applyFill="1"/>
    <xf numFmtId="0" fontId="32" fillId="13" borderId="1" xfId="0" applyFont="1" applyFill="1" applyBorder="1" applyProtection="1">
      <protection hidden="1"/>
    </xf>
    <xf numFmtId="0" fontId="34" fillId="2" borderId="3" xfId="0" applyFont="1" applyFill="1" applyBorder="1" applyProtection="1">
      <protection hidden="1"/>
    </xf>
    <xf numFmtId="0" fontId="35" fillId="0" borderId="0" xfId="0" applyFont="1" applyProtection="1">
      <protection hidden="1"/>
    </xf>
    <xf numFmtId="0" fontId="34" fillId="0" borderId="7" xfId="0" applyFont="1" applyBorder="1" applyAlignment="1" applyProtection="1">
      <alignment horizontal="left"/>
      <protection hidden="1"/>
    </xf>
    <xf numFmtId="0" fontId="34" fillId="0" borderId="5" xfId="0" applyFont="1" applyBorder="1" applyAlignment="1" applyProtection="1">
      <alignment horizontal="left"/>
      <protection hidden="1"/>
    </xf>
    <xf numFmtId="0" fontId="35" fillId="0" borderId="5" xfId="0" applyFont="1" applyBorder="1" applyProtection="1">
      <protection hidden="1"/>
    </xf>
    <xf numFmtId="0" fontId="35" fillId="0" borderId="2" xfId="0" applyFont="1" applyBorder="1" applyProtection="1">
      <protection hidden="1"/>
    </xf>
    <xf numFmtId="0" fontId="34" fillId="14" borderId="1" xfId="0" applyFont="1" applyFill="1" applyBorder="1" applyProtection="1">
      <protection hidden="1"/>
    </xf>
    <xf numFmtId="167" fontId="34" fillId="14" borderId="1" xfId="0" applyNumberFormat="1" applyFont="1" applyFill="1" applyBorder="1" applyAlignment="1" applyProtection="1">
      <alignment horizontal="left"/>
      <protection hidden="1"/>
    </xf>
    <xf numFmtId="0" fontId="35" fillId="14" borderId="1" xfId="0" applyFont="1" applyFill="1" applyBorder="1" applyProtection="1">
      <protection hidden="1"/>
    </xf>
    <xf numFmtId="0" fontId="35" fillId="14" borderId="3" xfId="0" applyFont="1" applyFill="1" applyBorder="1" applyProtection="1">
      <protection hidden="1"/>
    </xf>
    <xf numFmtId="0" fontId="34" fillId="0" borderId="10" xfId="32" applyFont="1" applyBorder="1" applyAlignment="1" applyProtection="1">
      <alignment horizontal="left"/>
      <protection hidden="1"/>
    </xf>
    <xf numFmtId="0" fontId="34" fillId="0" borderId="1" xfId="32" applyFont="1" applyBorder="1" applyAlignment="1" applyProtection="1">
      <alignment horizontal="left"/>
      <protection hidden="1"/>
    </xf>
    <xf numFmtId="0" fontId="34" fillId="0" borderId="1" xfId="0" applyFont="1" applyBorder="1" applyAlignment="1" applyProtection="1">
      <alignment horizontal="centerContinuous"/>
      <protection hidden="1"/>
    </xf>
    <xf numFmtId="0" fontId="35" fillId="0" borderId="1" xfId="0" applyFont="1" applyBorder="1" applyAlignment="1" applyProtection="1">
      <alignment horizontal="centerContinuous"/>
      <protection hidden="1"/>
    </xf>
    <xf numFmtId="0" fontId="36" fillId="0" borderId="1" xfId="0" applyFont="1" applyBorder="1" applyProtection="1">
      <protection hidden="1"/>
    </xf>
    <xf numFmtId="0" fontId="34" fillId="0" borderId="1" xfId="0" applyFont="1" applyBorder="1" applyAlignment="1" applyProtection="1">
      <alignment horizontal="left"/>
      <protection hidden="1"/>
    </xf>
    <xf numFmtId="0" fontId="35" fillId="0" borderId="3" xfId="0" applyFont="1" applyBorder="1" applyProtection="1">
      <protection hidden="1"/>
    </xf>
    <xf numFmtId="171" fontId="34" fillId="5" borderId="4" xfId="0" applyNumberFormat="1" applyFont="1" applyFill="1" applyBorder="1" applyProtection="1">
      <protection hidden="1"/>
    </xf>
    <xf numFmtId="0" fontId="34" fillId="14" borderId="10" xfId="32" applyFont="1" applyFill="1" applyBorder="1" applyAlignment="1" applyProtection="1">
      <alignment horizontal="left"/>
      <protection hidden="1"/>
    </xf>
    <xf numFmtId="0" fontId="34" fillId="14" borderId="1" xfId="32" applyFont="1" applyFill="1" applyBorder="1" applyAlignment="1" applyProtection="1">
      <alignment horizontal="left"/>
      <protection hidden="1"/>
    </xf>
    <xf numFmtId="168" fontId="34" fillId="14" borderId="3" xfId="32" applyNumberFormat="1" applyFont="1" applyFill="1" applyBorder="1" applyAlignment="1" applyProtection="1">
      <alignment horizontal="left"/>
      <protection hidden="1"/>
    </xf>
    <xf numFmtId="176" fontId="34" fillId="14" borderId="4" xfId="0" applyNumberFormat="1" applyFont="1" applyFill="1" applyBorder="1" applyAlignment="1" applyProtection="1">
      <alignment horizontal="right"/>
      <protection hidden="1"/>
    </xf>
    <xf numFmtId="0" fontId="34" fillId="0" borderId="22" xfId="32" applyFont="1" applyBorder="1" applyAlignment="1" applyProtection="1">
      <alignment horizontal="left"/>
      <protection hidden="1"/>
    </xf>
    <xf numFmtId="0" fontId="34" fillId="0" borderId="0" xfId="32" applyFont="1" applyAlignment="1" applyProtection="1">
      <alignment horizontal="left"/>
      <protection hidden="1"/>
    </xf>
    <xf numFmtId="176" fontId="34" fillId="5" borderId="4" xfId="0" applyNumberFormat="1" applyFont="1" applyFill="1" applyBorder="1" applyAlignment="1" applyProtection="1">
      <alignment horizontal="right"/>
      <protection hidden="1"/>
    </xf>
    <xf numFmtId="176" fontId="35" fillId="13" borderId="4" xfId="0" applyNumberFormat="1" applyFont="1" applyFill="1" applyBorder="1" applyProtection="1">
      <protection hidden="1"/>
    </xf>
    <xf numFmtId="0" fontId="37" fillId="0" borderId="0" xfId="48" applyFont="1"/>
    <xf numFmtId="0" fontId="34" fillId="0" borderId="23" xfId="32" applyFont="1" applyBorder="1" applyAlignment="1" applyProtection="1">
      <alignment horizontal="left"/>
      <protection hidden="1"/>
    </xf>
    <xf numFmtId="0" fontId="34" fillId="0" borderId="24" xfId="32" applyFont="1" applyBorder="1" applyAlignment="1" applyProtection="1">
      <alignment horizontal="left"/>
      <protection hidden="1"/>
    </xf>
    <xf numFmtId="176" fontId="34" fillId="0" borderId="8" xfId="34" applyNumberFormat="1" applyFont="1" applyBorder="1" applyProtection="1">
      <protection hidden="1"/>
    </xf>
    <xf numFmtId="167" fontId="37" fillId="0" borderId="0" xfId="48" applyNumberFormat="1" applyFont="1"/>
    <xf numFmtId="0" fontId="34" fillId="0" borderId="21" xfId="32" applyFont="1" applyBorder="1" applyAlignment="1" applyProtection="1">
      <alignment horizontal="left"/>
      <protection hidden="1"/>
    </xf>
    <xf numFmtId="0" fontId="34" fillId="0" borderId="25" xfId="32" applyFont="1" applyBorder="1" applyAlignment="1" applyProtection="1">
      <alignment horizontal="left"/>
      <protection hidden="1"/>
    </xf>
    <xf numFmtId="176" fontId="34" fillId="0" borderId="9" xfId="34" applyNumberFormat="1" applyFont="1" applyBorder="1" applyProtection="1">
      <protection hidden="1"/>
    </xf>
    <xf numFmtId="176" fontId="34" fillId="14" borderId="4" xfId="0" applyNumberFormat="1" applyFont="1" applyFill="1" applyBorder="1" applyProtection="1">
      <protection hidden="1"/>
    </xf>
    <xf numFmtId="0" fontId="34" fillId="5" borderId="22" xfId="32" applyFont="1" applyFill="1" applyBorder="1" applyAlignment="1" applyProtection="1">
      <alignment horizontal="left"/>
      <protection hidden="1"/>
    </xf>
    <xf numFmtId="0" fontId="34" fillId="5" borderId="0" xfId="32" applyFont="1" applyFill="1" applyAlignment="1" applyProtection="1">
      <alignment horizontal="left"/>
      <protection hidden="1"/>
    </xf>
    <xf numFmtId="176" fontId="34" fillId="5" borderId="6" xfId="0" applyNumberFormat="1" applyFont="1" applyFill="1" applyBorder="1" applyProtection="1">
      <protection hidden="1"/>
    </xf>
    <xf numFmtId="176" fontId="34" fillId="14" borderId="4" xfId="34" applyNumberFormat="1" applyFont="1" applyFill="1" applyBorder="1" applyProtection="1">
      <protection hidden="1"/>
    </xf>
    <xf numFmtId="165" fontId="34" fillId="0" borderId="0" xfId="0" applyNumberFormat="1" applyFont="1" applyProtection="1">
      <protection hidden="1"/>
    </xf>
    <xf numFmtId="176" fontId="34" fillId="0" borderId="6" xfId="0" applyNumberFormat="1" applyFont="1" applyBorder="1" applyProtection="1">
      <protection hidden="1"/>
    </xf>
    <xf numFmtId="176" fontId="32" fillId="13" borderId="4" xfId="0" applyNumberFormat="1" applyFont="1" applyFill="1" applyBorder="1" applyProtection="1">
      <protection hidden="1"/>
    </xf>
    <xf numFmtId="0" fontId="32" fillId="13" borderId="10" xfId="32" applyFont="1" applyFill="1" applyBorder="1" applyAlignment="1" applyProtection="1">
      <alignment horizontal="left"/>
      <protection hidden="1"/>
    </xf>
    <xf numFmtId="0" fontId="32" fillId="13" borderId="1" xfId="32" applyFont="1" applyFill="1" applyBorder="1" applyAlignment="1" applyProtection="1">
      <alignment horizontal="left"/>
      <protection hidden="1"/>
    </xf>
    <xf numFmtId="0" fontId="33" fillId="13" borderId="3" xfId="32" applyFont="1" applyFill="1" applyBorder="1" applyProtection="1">
      <protection hidden="1"/>
    </xf>
    <xf numFmtId="176" fontId="35" fillId="0" borderId="0" xfId="0" applyNumberFormat="1" applyFont="1" applyProtection="1">
      <protection hidden="1"/>
    </xf>
    <xf numFmtId="176" fontId="38" fillId="5" borderId="40" xfId="0" applyNumberFormat="1" applyFont="1" applyFill="1" applyBorder="1"/>
    <xf numFmtId="176" fontId="38" fillId="5" borderId="24" xfId="0" applyNumberFormat="1" applyFont="1" applyFill="1" applyBorder="1"/>
    <xf numFmtId="0" fontId="35" fillId="0" borderId="0" xfId="0" applyFont="1"/>
    <xf numFmtId="176" fontId="38" fillId="5" borderId="38" xfId="0" applyNumberFormat="1" applyFont="1" applyFill="1" applyBorder="1"/>
    <xf numFmtId="176" fontId="38" fillId="5" borderId="5" xfId="0" applyNumberFormat="1" applyFont="1" applyFill="1" applyBorder="1"/>
    <xf numFmtId="0" fontId="34" fillId="5" borderId="29" xfId="32" applyFont="1" applyFill="1" applyBorder="1" applyAlignment="1">
      <alignment vertical="center"/>
    </xf>
    <xf numFmtId="0" fontId="35" fillId="5" borderId="28" xfId="32" applyFont="1" applyFill="1" applyBorder="1" applyProtection="1">
      <protection hidden="1"/>
    </xf>
    <xf numFmtId="0" fontId="35" fillId="5" borderId="27" xfId="32" applyFont="1" applyFill="1" applyBorder="1" applyProtection="1">
      <protection hidden="1"/>
    </xf>
    <xf numFmtId="0" fontId="35" fillId="0" borderId="0" xfId="32" applyFont="1"/>
    <xf numFmtId="0" fontId="35" fillId="5" borderId="22" xfId="32" applyFont="1" applyFill="1" applyBorder="1" applyAlignment="1">
      <alignment vertical="center"/>
    </xf>
    <xf numFmtId="0" fontId="35" fillId="5" borderId="0" xfId="32" applyFont="1" applyFill="1" applyProtection="1">
      <protection hidden="1"/>
    </xf>
    <xf numFmtId="0" fontId="35" fillId="5" borderId="26" xfId="32" applyFont="1" applyFill="1" applyBorder="1" applyProtection="1">
      <protection hidden="1"/>
    </xf>
    <xf numFmtId="0" fontId="35" fillId="5" borderId="7" xfId="32" applyFont="1" applyFill="1" applyBorder="1" applyAlignment="1">
      <alignment vertical="center"/>
    </xf>
    <xf numFmtId="0" fontId="35" fillId="5" borderId="5" xfId="32" applyFont="1" applyFill="1" applyBorder="1" applyProtection="1">
      <protection hidden="1"/>
    </xf>
    <xf numFmtId="0" fontId="35" fillId="5" borderId="2" xfId="32" applyFont="1" applyFill="1" applyBorder="1" applyProtection="1">
      <protection hidden="1"/>
    </xf>
    <xf numFmtId="176" fontId="34" fillId="14" borderId="1" xfId="0" applyNumberFormat="1" applyFont="1" applyFill="1" applyBorder="1" applyAlignment="1" applyProtection="1">
      <alignment horizontal="left"/>
      <protection hidden="1"/>
    </xf>
    <xf numFmtId="167" fontId="34" fillId="0" borderId="9" xfId="34" applyNumberFormat="1" applyFont="1" applyBorder="1" applyProtection="1">
      <protection hidden="1"/>
    </xf>
    <xf numFmtId="165" fontId="35" fillId="0" borderId="0" xfId="0" applyNumberFormat="1" applyFont="1" applyProtection="1">
      <protection hidden="1"/>
    </xf>
    <xf numFmtId="0" fontId="34" fillId="9" borderId="29" xfId="32" applyFont="1" applyFill="1" applyBorder="1" applyAlignment="1">
      <alignment vertical="center"/>
    </xf>
    <xf numFmtId="0" fontId="35" fillId="9" borderId="28" xfId="32" applyFont="1" applyFill="1" applyBorder="1" applyProtection="1">
      <protection hidden="1"/>
    </xf>
    <xf numFmtId="0" fontId="35" fillId="9" borderId="22" xfId="32" applyFont="1" applyFill="1" applyBorder="1" applyAlignment="1">
      <alignment vertical="center"/>
    </xf>
    <xf numFmtId="0" fontId="35" fillId="9" borderId="7" xfId="32" applyFont="1" applyFill="1" applyBorder="1" applyAlignment="1">
      <alignment vertical="center"/>
    </xf>
    <xf numFmtId="0" fontId="35" fillId="9" borderId="5" xfId="32" applyFont="1" applyFill="1" applyBorder="1" applyProtection="1">
      <protection hidden="1"/>
    </xf>
    <xf numFmtId="176" fontId="38" fillId="5" borderId="6" xfId="0" applyNumberFormat="1" applyFont="1" applyFill="1" applyBorder="1"/>
    <xf numFmtId="176" fontId="38" fillId="5" borderId="0" xfId="0" applyNumberFormat="1" applyFont="1" applyFill="1"/>
    <xf numFmtId="0" fontId="35" fillId="9" borderId="0" xfId="32" applyFont="1" applyFill="1" applyProtection="1">
      <protection hidden="1"/>
    </xf>
    <xf numFmtId="0" fontId="35" fillId="9" borderId="27" xfId="32" applyFont="1" applyFill="1" applyBorder="1"/>
    <xf numFmtId="0" fontId="35" fillId="9" borderId="26" xfId="32" applyFont="1" applyFill="1" applyBorder="1"/>
    <xf numFmtId="0" fontId="35" fillId="9" borderId="2" xfId="32" applyFont="1" applyFill="1" applyBorder="1"/>
    <xf numFmtId="0" fontId="35" fillId="9" borderId="27" xfId="0" applyFont="1" applyFill="1" applyBorder="1" applyProtection="1">
      <protection hidden="1"/>
    </xf>
    <xf numFmtId="0" fontId="35" fillId="9" borderId="26" xfId="0" applyFont="1" applyFill="1" applyBorder="1" applyProtection="1">
      <protection hidden="1"/>
    </xf>
    <xf numFmtId="0" fontId="35" fillId="9" borderId="2" xfId="0" applyFont="1" applyFill="1" applyBorder="1" applyProtection="1">
      <protection hidden="1"/>
    </xf>
    <xf numFmtId="0" fontId="34" fillId="13" borderId="3" xfId="0" applyFont="1" applyFill="1" applyBorder="1" applyProtection="1">
      <protection hidden="1"/>
    </xf>
    <xf numFmtId="169" fontId="34" fillId="5" borderId="4" xfId="0" applyNumberFormat="1" applyFont="1" applyFill="1" applyBorder="1" applyAlignment="1" applyProtection="1">
      <alignment horizontal="right"/>
      <protection hidden="1"/>
    </xf>
    <xf numFmtId="0" fontId="35" fillId="13" borderId="4" xfId="0" applyFont="1" applyFill="1" applyBorder="1" applyProtection="1">
      <protection hidden="1"/>
    </xf>
    <xf numFmtId="0" fontId="34" fillId="13" borderId="1" xfId="0" applyFont="1" applyFill="1" applyBorder="1" applyProtection="1">
      <protection hidden="1"/>
    </xf>
    <xf numFmtId="0" fontId="34" fillId="13" borderId="10" xfId="32" applyFont="1" applyFill="1" applyBorder="1" applyAlignment="1" applyProtection="1">
      <alignment wrapText="1" readingOrder="1"/>
      <protection hidden="1"/>
    </xf>
    <xf numFmtId="0" fontId="34" fillId="13" borderId="1" xfId="32" applyFont="1" applyFill="1" applyBorder="1" applyAlignment="1" applyProtection="1">
      <alignment wrapText="1" readingOrder="1"/>
      <protection hidden="1"/>
    </xf>
    <xf numFmtId="0" fontId="34" fillId="13" borderId="3" xfId="32" applyFont="1" applyFill="1" applyBorder="1" applyAlignment="1" applyProtection="1">
      <alignment wrapText="1" readingOrder="1"/>
      <protection hidden="1"/>
    </xf>
    <xf numFmtId="0" fontId="35" fillId="0" borderId="27" xfId="32" applyFont="1" applyBorder="1"/>
    <xf numFmtId="0" fontId="35" fillId="0" borderId="26" xfId="32" applyFont="1" applyBorder="1"/>
    <xf numFmtId="0" fontId="35" fillId="0" borderId="2" xfId="32" applyFont="1" applyBorder="1"/>
    <xf numFmtId="167" fontId="34" fillId="5" borderId="4" xfId="0" applyNumberFormat="1" applyFont="1" applyFill="1" applyBorder="1" applyProtection="1">
      <protection hidden="1"/>
    </xf>
    <xf numFmtId="0" fontId="39" fillId="9" borderId="0" xfId="0" applyFont="1" applyFill="1"/>
    <xf numFmtId="0" fontId="32" fillId="13" borderId="25" xfId="0" applyFont="1" applyFill="1" applyBorder="1"/>
    <xf numFmtId="0" fontId="32" fillId="13" borderId="25" xfId="0" applyFont="1" applyFill="1" applyBorder="1" applyAlignment="1">
      <alignment horizontal="center" wrapText="1"/>
    </xf>
    <xf numFmtId="167" fontId="34" fillId="14" borderId="0" xfId="16" applyFont="1" applyFill="1" applyBorder="1" applyAlignment="1"/>
    <xf numFmtId="0" fontId="39" fillId="14" borderId="0" xfId="0" applyFont="1" applyFill="1"/>
    <xf numFmtId="167" fontId="34" fillId="9" borderId="0" xfId="16" applyFont="1" applyFill="1" applyBorder="1" applyAlignment="1"/>
    <xf numFmtId="0" fontId="39" fillId="9" borderId="34" xfId="0" applyFont="1" applyFill="1" applyBorder="1"/>
    <xf numFmtId="176" fontId="39" fillId="9" borderId="34" xfId="0" applyNumberFormat="1" applyFont="1" applyFill="1" applyBorder="1" applyAlignment="1">
      <alignment horizontal="center"/>
    </xf>
    <xf numFmtId="176" fontId="39" fillId="9" borderId="0" xfId="0" applyNumberFormat="1" applyFont="1" applyFill="1" applyAlignment="1">
      <alignment horizontal="center"/>
    </xf>
    <xf numFmtId="176" fontId="39" fillId="9" borderId="30" xfId="0" applyNumberFormat="1" applyFont="1" applyFill="1" applyBorder="1" applyAlignment="1">
      <alignment horizontal="center"/>
    </xf>
    <xf numFmtId="0" fontId="39" fillId="10" borderId="35" xfId="0" applyFont="1" applyFill="1" applyBorder="1"/>
    <xf numFmtId="2" fontId="35" fillId="10" borderId="32" xfId="0" applyNumberFormat="1" applyFont="1" applyFill="1" applyBorder="1"/>
    <xf numFmtId="176" fontId="34" fillId="9" borderId="0" xfId="16" applyNumberFormat="1" applyFont="1" applyFill="1" applyBorder="1" applyAlignment="1">
      <alignment horizontal="center" vertical="center" wrapText="1"/>
    </xf>
    <xf numFmtId="176" fontId="34" fillId="14" borderId="0" xfId="16" applyNumberFormat="1" applyFont="1" applyFill="1" applyBorder="1" applyAlignment="1">
      <alignment horizontal="center" vertical="center" wrapText="1"/>
    </xf>
    <xf numFmtId="176" fontId="34" fillId="14" borderId="0" xfId="16" applyNumberFormat="1" applyFont="1" applyFill="1" applyBorder="1" applyAlignment="1">
      <alignment horizontal="center"/>
    </xf>
    <xf numFmtId="176" fontId="34" fillId="9" borderId="32" xfId="16" applyNumberFormat="1" applyFont="1" applyFill="1" applyBorder="1" applyAlignment="1">
      <alignment horizontal="center"/>
    </xf>
    <xf numFmtId="176" fontId="34" fillId="9" borderId="0" xfId="16" applyNumberFormat="1" applyFont="1" applyFill="1" applyBorder="1" applyAlignment="1">
      <alignment horizontal="center"/>
    </xf>
    <xf numFmtId="176" fontId="34" fillId="14" borderId="33" xfId="16" applyNumberFormat="1" applyFont="1" applyFill="1" applyBorder="1" applyAlignment="1">
      <alignment horizontal="center"/>
    </xf>
    <xf numFmtId="176" fontId="34" fillId="9" borderId="36" xfId="16" applyNumberFormat="1" applyFont="1" applyFill="1" applyBorder="1" applyAlignment="1">
      <alignment horizontal="center"/>
    </xf>
    <xf numFmtId="0" fontId="34" fillId="9" borderId="0" xfId="0" applyFont="1" applyFill="1"/>
    <xf numFmtId="0" fontId="34" fillId="0" borderId="0" xfId="0" applyFont="1"/>
    <xf numFmtId="0" fontId="41" fillId="0" borderId="0" xfId="0" applyFont="1"/>
    <xf numFmtId="176" fontId="34" fillId="9" borderId="0" xfId="0" applyNumberFormat="1" applyFont="1" applyFill="1" applyAlignment="1">
      <alignment horizontal="center"/>
    </xf>
    <xf numFmtId="176" fontId="34" fillId="9" borderId="32" xfId="0" applyNumberFormat="1" applyFont="1" applyFill="1" applyBorder="1" applyAlignment="1">
      <alignment horizontal="center"/>
    </xf>
    <xf numFmtId="175" fontId="34" fillId="9" borderId="0" xfId="16" applyNumberFormat="1" applyFont="1" applyFill="1" applyBorder="1" applyAlignment="1"/>
    <xf numFmtId="175" fontId="34" fillId="0" borderId="0" xfId="16" applyNumberFormat="1" applyFont="1" applyFill="1" applyBorder="1" applyAlignment="1"/>
    <xf numFmtId="176" fontId="34" fillId="9" borderId="0" xfId="0" applyNumberFormat="1" applyFont="1" applyFill="1"/>
    <xf numFmtId="9" fontId="34" fillId="0" borderId="0" xfId="125" applyFont="1" applyFill="1"/>
    <xf numFmtId="9" fontId="34" fillId="0" borderId="0" xfId="0" applyNumberFormat="1" applyFont="1"/>
    <xf numFmtId="175" fontId="34" fillId="0" borderId="0" xfId="0" applyNumberFormat="1" applyFont="1"/>
    <xf numFmtId="0" fontId="34" fillId="10" borderId="0" xfId="0" applyFont="1" applyFill="1" applyAlignment="1">
      <alignment vertical="center" wrapText="1"/>
    </xf>
    <xf numFmtId="0" fontId="34" fillId="10" borderId="0" xfId="0" applyFont="1" applyFill="1" applyAlignment="1">
      <alignment wrapText="1"/>
    </xf>
    <xf numFmtId="0" fontId="34" fillId="10" borderId="0" xfId="0" applyFont="1" applyFill="1"/>
    <xf numFmtId="0" fontId="34" fillId="10" borderId="30" xfId="0" applyFont="1" applyFill="1" applyBorder="1"/>
    <xf numFmtId="0" fontId="34" fillId="0" borderId="0" xfId="0" applyFont="1" applyAlignment="1">
      <alignment wrapText="1"/>
    </xf>
    <xf numFmtId="0" fontId="34" fillId="0" borderId="30" xfId="0" applyFont="1" applyBorder="1"/>
    <xf numFmtId="0" fontId="39" fillId="9" borderId="31" xfId="0" applyFont="1" applyFill="1" applyBorder="1"/>
    <xf numFmtId="174" fontId="39" fillId="9" borderId="0" xfId="0" applyNumberFormat="1" applyFont="1" applyFill="1"/>
    <xf numFmtId="174" fontId="39" fillId="0" borderId="0" xfId="0" applyNumberFormat="1" applyFont="1"/>
    <xf numFmtId="0" fontId="39" fillId="10" borderId="29" xfId="0" applyFont="1" applyFill="1" applyBorder="1"/>
    <xf numFmtId="0" fontId="39" fillId="10" borderId="1" xfId="0" applyFont="1" applyFill="1" applyBorder="1" applyAlignment="1">
      <alignment horizontal="center"/>
    </xf>
    <xf numFmtId="0" fontId="39" fillId="0" borderId="3" xfId="0" applyFont="1" applyBorder="1" applyAlignment="1">
      <alignment horizontal="center"/>
    </xf>
    <xf numFmtId="167" fontId="34" fillId="10" borderId="22" xfId="16" applyFont="1" applyFill="1" applyBorder="1" applyAlignment="1">
      <alignment horizontal="left"/>
    </xf>
    <xf numFmtId="0" fontId="34" fillId="10" borderId="22" xfId="0" applyFont="1" applyFill="1" applyBorder="1"/>
    <xf numFmtId="167" fontId="34" fillId="11" borderId="22" xfId="16" applyFont="1" applyFill="1" applyBorder="1" applyAlignment="1"/>
    <xf numFmtId="167" fontId="34" fillId="11" borderId="0" xfId="0" applyNumberFormat="1" applyFont="1" applyFill="1"/>
    <xf numFmtId="167" fontId="34" fillId="12" borderId="22" xfId="17" applyFont="1" applyFill="1" applyBorder="1" applyAlignment="1"/>
    <xf numFmtId="0" fontId="34" fillId="6" borderId="22" xfId="32" applyFont="1" applyFill="1" applyBorder="1"/>
    <xf numFmtId="175" fontId="34" fillId="12" borderId="22" xfId="0" applyNumberFormat="1" applyFont="1" applyFill="1" applyBorder="1"/>
    <xf numFmtId="0" fontId="34" fillId="12" borderId="22" xfId="32" applyFont="1" applyFill="1" applyBorder="1"/>
    <xf numFmtId="0" fontId="34" fillId="10" borderId="7" xfId="0" applyFont="1" applyFill="1" applyBorder="1"/>
    <xf numFmtId="167" fontId="34" fillId="16" borderId="26" xfId="0" applyNumberFormat="1" applyFont="1" applyFill="1" applyBorder="1"/>
    <xf numFmtId="175" fontId="35" fillId="10" borderId="0" xfId="0" applyNumberFormat="1" applyFont="1" applyFill="1"/>
    <xf numFmtId="175" fontId="35" fillId="0" borderId="26" xfId="0" applyNumberFormat="1" applyFont="1" applyBorder="1"/>
    <xf numFmtId="167" fontId="35" fillId="10" borderId="0" xfId="0" applyNumberFormat="1" applyFont="1" applyFill="1"/>
    <xf numFmtId="167" fontId="35" fillId="0" borderId="26" xfId="0" applyNumberFormat="1" applyFont="1" applyBorder="1"/>
    <xf numFmtId="175" fontId="35" fillId="11" borderId="0" xfId="0" applyNumberFormat="1" applyFont="1" applyFill="1"/>
    <xf numFmtId="175" fontId="35" fillId="16" borderId="26" xfId="0" applyNumberFormat="1" applyFont="1" applyFill="1" applyBorder="1"/>
    <xf numFmtId="2" fontId="35" fillId="0" borderId="45" xfId="0" applyNumberFormat="1" applyFont="1" applyBorder="1"/>
    <xf numFmtId="0" fontId="42" fillId="15" borderId="29" xfId="124" applyFont="1" applyFill="1" applyBorder="1" applyAlignment="1">
      <alignment horizontal="center"/>
    </xf>
    <xf numFmtId="0" fontId="42" fillId="15" borderId="28" xfId="124" applyFont="1" applyFill="1" applyBorder="1" applyAlignment="1">
      <alignment horizontal="center"/>
    </xf>
    <xf numFmtId="0" fontId="42" fillId="15" borderId="27" xfId="124" applyFont="1" applyFill="1" applyBorder="1" applyAlignment="1">
      <alignment horizontal="center"/>
    </xf>
    <xf numFmtId="176" fontId="35" fillId="10" borderId="47" xfId="0" applyNumberFormat="1" applyFont="1" applyFill="1" applyBorder="1"/>
    <xf numFmtId="176" fontId="35" fillId="0" borderId="48" xfId="0" applyNumberFormat="1" applyFont="1" applyBorder="1"/>
    <xf numFmtId="176" fontId="35" fillId="10" borderId="36" xfId="0" applyNumberFormat="1" applyFont="1" applyFill="1" applyBorder="1"/>
    <xf numFmtId="176" fontId="35" fillId="0" borderId="46" xfId="0" applyNumberFormat="1" applyFont="1" applyBorder="1"/>
    <xf numFmtId="177" fontId="4" fillId="9" borderId="0" xfId="37" applyNumberFormat="1" applyFill="1"/>
    <xf numFmtId="0" fontId="41" fillId="0" borderId="0" xfId="0" applyFont="1" applyAlignment="1">
      <alignment horizontal="center"/>
    </xf>
    <xf numFmtId="0" fontId="35" fillId="0" borderId="29" xfId="0" applyFont="1" applyBorder="1"/>
    <xf numFmtId="0" fontId="35" fillId="0" borderId="22" xfId="0" applyFont="1" applyBorder="1"/>
    <xf numFmtId="0" fontId="35" fillId="0" borderId="7" xfId="0" applyFont="1" applyBorder="1"/>
    <xf numFmtId="0" fontId="35" fillId="0" borderId="27" xfId="0" applyFont="1" applyBorder="1" applyAlignment="1">
      <alignment horizontal="center"/>
    </xf>
    <xf numFmtId="0" fontId="35" fillId="0" borderId="26" xfId="0" applyFont="1" applyBorder="1" applyAlignment="1">
      <alignment horizontal="center"/>
    </xf>
    <xf numFmtId="0" fontId="35" fillId="0" borderId="2" xfId="0" applyFont="1" applyBorder="1" applyAlignment="1">
      <alignment horizontal="center"/>
    </xf>
    <xf numFmtId="0" fontId="43" fillId="0" borderId="0" xfId="126"/>
    <xf numFmtId="0" fontId="44" fillId="0" borderId="0" xfId="0" applyFont="1"/>
    <xf numFmtId="2" fontId="34" fillId="9" borderId="0" xfId="16" applyNumberFormat="1" applyFont="1" applyFill="1" applyBorder="1" applyAlignment="1">
      <alignment horizontal="right" vertical="center" wrapText="1"/>
    </xf>
    <xf numFmtId="0" fontId="34" fillId="9" borderId="10" xfId="0" applyFont="1" applyFill="1" applyBorder="1" applyAlignment="1">
      <alignment vertical="center" wrapText="1"/>
    </xf>
    <xf numFmtId="0" fontId="34" fillId="9" borderId="1" xfId="0" applyFont="1" applyFill="1" applyBorder="1" applyAlignment="1">
      <alignment vertical="center" wrapText="1"/>
    </xf>
    <xf numFmtId="0" fontId="34" fillId="9" borderId="1" xfId="0" applyFont="1" applyFill="1" applyBorder="1" applyAlignment="1">
      <alignment wrapText="1"/>
    </xf>
    <xf numFmtId="0" fontId="34" fillId="9" borderId="3" xfId="0" applyFont="1" applyFill="1" applyBorder="1" applyAlignment="1">
      <alignment wrapText="1"/>
    </xf>
    <xf numFmtId="0" fontId="3" fillId="0" borderId="10" xfId="67" applyFont="1" applyBorder="1" applyAlignment="1">
      <alignment horizontal="center" vertical="center"/>
    </xf>
    <xf numFmtId="0" fontId="3" fillId="0" borderId="1" xfId="67" applyFont="1" applyBorder="1" applyAlignment="1">
      <alignment horizontal="center" vertical="center"/>
    </xf>
    <xf numFmtId="0" fontId="3" fillId="0" borderId="3" xfId="67" applyFont="1" applyBorder="1" applyAlignment="1">
      <alignment horizontal="center" vertical="center"/>
    </xf>
    <xf numFmtId="0" fontId="3" fillId="0" borderId="11" xfId="67" applyFont="1" applyBorder="1" applyAlignment="1">
      <alignment horizontal="center" vertical="center" textRotation="90" wrapText="1"/>
    </xf>
    <xf numFmtId="0" fontId="3" fillId="0" borderId="6" xfId="67" applyFont="1" applyBorder="1" applyAlignment="1">
      <alignment horizontal="center" vertical="center" textRotation="90" wrapText="1"/>
    </xf>
    <xf numFmtId="0" fontId="3" fillId="0" borderId="38" xfId="67" applyFont="1" applyBorder="1" applyAlignment="1">
      <alignment horizontal="center" vertical="center" textRotation="90" wrapText="1"/>
    </xf>
    <xf numFmtId="0" fontId="3" fillId="0" borderId="10" xfId="67" applyFont="1" applyBorder="1" applyAlignment="1">
      <alignment vertical="center" wrapText="1"/>
    </xf>
    <xf numFmtId="0" fontId="3" fillId="0" borderId="3" xfId="67" applyFont="1" applyBorder="1" applyAlignment="1">
      <alignment vertical="center" wrapText="1"/>
    </xf>
    <xf numFmtId="0" fontId="3" fillId="9" borderId="0" xfId="34" applyFont="1" applyFill="1" applyAlignment="1" applyProtection="1">
      <alignment horizontal="center"/>
      <protection hidden="1"/>
    </xf>
    <xf numFmtId="0" fontId="3" fillId="9" borderId="0" xfId="34" applyFont="1" applyFill="1" applyAlignment="1" applyProtection="1">
      <alignment horizontal="center" wrapText="1"/>
      <protection hidden="1"/>
    </xf>
    <xf numFmtId="0" fontId="3" fillId="9" borderId="0" xfId="0" applyFont="1" applyFill="1" applyAlignment="1" applyProtection="1">
      <alignment horizontal="center" wrapText="1"/>
      <protection hidden="1"/>
    </xf>
    <xf numFmtId="0" fontId="35" fillId="9" borderId="29" xfId="0" applyFont="1" applyFill="1" applyBorder="1" applyAlignment="1" applyProtection="1">
      <alignment horizontal="center" vertical="center"/>
      <protection hidden="1"/>
    </xf>
    <xf numFmtId="0" fontId="35" fillId="9" borderId="28" xfId="0" applyFont="1" applyFill="1" applyBorder="1" applyAlignment="1" applyProtection="1">
      <alignment horizontal="center" vertical="center"/>
      <protection hidden="1"/>
    </xf>
    <xf numFmtId="0" fontId="35" fillId="9" borderId="22" xfId="0" applyFont="1" applyFill="1" applyBorder="1" applyAlignment="1" applyProtection="1">
      <alignment horizontal="center" vertical="center"/>
      <protection hidden="1"/>
    </xf>
    <xf numFmtId="0" fontId="35" fillId="9" borderId="0" xfId="0" applyFont="1" applyFill="1" applyAlignment="1" applyProtection="1">
      <alignment horizontal="center" vertical="center"/>
      <protection hidden="1"/>
    </xf>
    <xf numFmtId="0" fontId="35" fillId="9" borderId="7" xfId="0" applyFont="1" applyFill="1" applyBorder="1" applyAlignment="1" applyProtection="1">
      <alignment horizontal="center" vertical="center"/>
      <protection hidden="1"/>
    </xf>
    <xf numFmtId="0" fontId="35" fillId="9" borderId="5" xfId="0" applyFont="1" applyFill="1" applyBorder="1" applyAlignment="1" applyProtection="1">
      <alignment horizontal="center" vertical="center"/>
      <protection hidden="1"/>
    </xf>
    <xf numFmtId="0" fontId="32" fillId="13" borderId="10" xfId="32" applyFont="1" applyFill="1" applyBorder="1" applyAlignment="1" applyProtection="1">
      <alignment horizontal="left" wrapText="1"/>
      <protection hidden="1"/>
    </xf>
    <xf numFmtId="0" fontId="33" fillId="13" borderId="1" xfId="32" applyFont="1" applyFill="1" applyBorder="1" applyAlignment="1">
      <alignment wrapText="1"/>
    </xf>
    <xf numFmtId="0" fontId="32" fillId="13" borderId="1" xfId="32" applyFont="1" applyFill="1" applyBorder="1" applyAlignment="1" applyProtection="1">
      <alignment wrapText="1"/>
      <protection hidden="1"/>
    </xf>
    <xf numFmtId="0" fontId="34" fillId="14" borderId="10" xfId="0" applyFont="1" applyFill="1" applyBorder="1" applyAlignment="1" applyProtection="1">
      <alignment horizontal="left" wrapText="1"/>
      <protection hidden="1"/>
    </xf>
    <xf numFmtId="0" fontId="35" fillId="14" borderId="1" xfId="0" applyFont="1" applyFill="1" applyBorder="1" applyAlignment="1">
      <alignment horizontal="left" wrapText="1"/>
    </xf>
    <xf numFmtId="0" fontId="32" fillId="13" borderId="10" xfId="32" applyFont="1" applyFill="1" applyBorder="1" applyAlignment="1" applyProtection="1">
      <alignment horizontal="left" readingOrder="1"/>
      <protection hidden="1"/>
    </xf>
    <xf numFmtId="0" fontId="32" fillId="13" borderId="1" xfId="32" applyFont="1" applyFill="1" applyBorder="1" applyAlignment="1" applyProtection="1">
      <alignment horizontal="left" readingOrder="1"/>
      <protection hidden="1"/>
    </xf>
    <xf numFmtId="0" fontId="32" fillId="13" borderId="3" xfId="32" applyFont="1" applyFill="1" applyBorder="1" applyAlignment="1" applyProtection="1">
      <alignment horizontal="left" readingOrder="1"/>
      <protection hidden="1"/>
    </xf>
    <xf numFmtId="0" fontId="34" fillId="14" borderId="10" xfId="32" applyFont="1" applyFill="1" applyBorder="1" applyAlignment="1" applyProtection="1">
      <alignment horizontal="left" wrapText="1"/>
      <protection hidden="1"/>
    </xf>
    <xf numFmtId="0" fontId="34" fillId="14" borderId="1" xfId="32" applyFont="1" applyFill="1" applyBorder="1" applyAlignment="1" applyProtection="1">
      <alignment horizontal="left" wrapText="1"/>
      <protection hidden="1"/>
    </xf>
    <xf numFmtId="0" fontId="34" fillId="14" borderId="3" xfId="32" applyFont="1" applyFill="1" applyBorder="1" applyAlignment="1" applyProtection="1">
      <alignment horizontal="left" wrapText="1"/>
      <protection hidden="1"/>
    </xf>
    <xf numFmtId="0" fontId="38" fillId="5" borderId="23" xfId="0" applyFont="1" applyFill="1" applyBorder="1" applyAlignment="1">
      <alignment wrapText="1"/>
    </xf>
    <xf numFmtId="0" fontId="38" fillId="5" borderId="24" xfId="0" applyFont="1" applyFill="1" applyBorder="1" applyAlignment="1">
      <alignment wrapText="1"/>
    </xf>
    <xf numFmtId="0" fontId="38" fillId="5" borderId="39" xfId="0" applyFont="1" applyFill="1" applyBorder="1" applyAlignment="1">
      <alignment wrapText="1"/>
    </xf>
    <xf numFmtId="0" fontId="38" fillId="5" borderId="43" xfId="0" applyFont="1" applyFill="1" applyBorder="1" applyAlignment="1">
      <alignment wrapText="1"/>
    </xf>
    <xf numFmtId="0" fontId="38" fillId="5" borderId="30" xfId="0" applyFont="1" applyFill="1" applyBorder="1" applyAlignment="1">
      <alignment wrapText="1"/>
    </xf>
    <xf numFmtId="0" fontId="38" fillId="5" borderId="44" xfId="0" applyFont="1" applyFill="1" applyBorder="1" applyAlignment="1">
      <alignment wrapText="1"/>
    </xf>
    <xf numFmtId="0" fontId="37" fillId="0" borderId="0" xfId="48" applyFont="1" applyAlignment="1">
      <alignment horizontal="center"/>
    </xf>
    <xf numFmtId="165" fontId="34" fillId="14" borderId="10" xfId="32" applyNumberFormat="1" applyFont="1" applyFill="1" applyBorder="1" applyAlignment="1" applyProtection="1">
      <alignment horizontal="left" wrapText="1"/>
      <protection hidden="1"/>
    </xf>
    <xf numFmtId="165" fontId="34" fillId="14" borderId="1" xfId="32" applyNumberFormat="1" applyFont="1" applyFill="1" applyBorder="1" applyAlignment="1" applyProtection="1">
      <alignment horizontal="left" wrapText="1"/>
      <protection hidden="1"/>
    </xf>
    <xf numFmtId="165" fontId="34" fillId="14" borderId="3" xfId="32" applyNumberFormat="1" applyFont="1" applyFill="1" applyBorder="1" applyAlignment="1" applyProtection="1">
      <alignment horizontal="left" wrapText="1"/>
      <protection hidden="1"/>
    </xf>
    <xf numFmtId="0" fontId="35" fillId="14" borderId="1" xfId="32" applyFont="1" applyFill="1" applyBorder="1" applyAlignment="1">
      <alignment horizontal="left" wrapText="1"/>
    </xf>
    <xf numFmtId="0" fontId="35" fillId="14" borderId="3" xfId="32" applyFont="1" applyFill="1" applyBorder="1" applyAlignment="1">
      <alignment horizontal="left" wrapText="1"/>
    </xf>
    <xf numFmtId="0" fontId="33" fillId="13" borderId="1" xfId="32" applyFont="1" applyFill="1" applyBorder="1" applyAlignment="1">
      <alignment horizontal="left" wrapText="1"/>
    </xf>
    <xf numFmtId="0" fontId="33" fillId="13" borderId="3" xfId="32" applyFont="1" applyFill="1" applyBorder="1" applyAlignment="1">
      <alignment horizontal="left" wrapText="1"/>
    </xf>
    <xf numFmtId="0" fontId="14" fillId="2" borderId="10" xfId="32" applyFont="1" applyFill="1" applyBorder="1" applyAlignment="1" applyProtection="1">
      <alignment horizontal="left" wrapText="1"/>
      <protection hidden="1"/>
    </xf>
    <xf numFmtId="0" fontId="4" fillId="0" borderId="1" xfId="32" applyBorder="1" applyAlignment="1">
      <alignment wrapText="1"/>
    </xf>
    <xf numFmtId="0" fontId="14" fillId="2" borderId="1" xfId="32" applyFont="1" applyFill="1" applyBorder="1" applyAlignment="1" applyProtection="1">
      <alignment wrapText="1"/>
      <protection hidden="1"/>
    </xf>
    <xf numFmtId="0" fontId="3" fillId="3" borderId="10" xfId="32" applyFont="1" applyFill="1" applyBorder="1" applyAlignment="1" applyProtection="1">
      <alignment horizontal="left" wrapText="1"/>
      <protection hidden="1"/>
    </xf>
    <xf numFmtId="0" fontId="4" fillId="0" borderId="1" xfId="32" applyBorder="1" applyAlignment="1">
      <alignment horizontal="left" wrapText="1"/>
    </xf>
    <xf numFmtId="0" fontId="3" fillId="3" borderId="10" xfId="32" applyFont="1" applyFill="1" applyBorder="1" applyAlignment="1" applyProtection="1">
      <alignment horizontal="left" wrapText="1" readingOrder="1"/>
      <protection hidden="1"/>
    </xf>
    <xf numFmtId="0" fontId="3" fillId="3" borderId="1" xfId="32" applyFont="1" applyFill="1" applyBorder="1" applyAlignment="1" applyProtection="1">
      <alignment horizontal="left" wrapText="1" readingOrder="1"/>
      <protection hidden="1"/>
    </xf>
    <xf numFmtId="0" fontId="3" fillId="3" borderId="3" xfId="32" applyFont="1" applyFill="1" applyBorder="1" applyAlignment="1" applyProtection="1">
      <alignment horizontal="left" wrapText="1" readingOrder="1"/>
      <protection hidden="1"/>
    </xf>
    <xf numFmtId="0" fontId="3" fillId="4" borderId="10" xfId="32" applyFont="1" applyFill="1" applyBorder="1" applyAlignment="1" applyProtection="1">
      <alignment horizontal="left" wrapText="1"/>
      <protection hidden="1"/>
    </xf>
    <xf numFmtId="0" fontId="3" fillId="4" borderId="1" xfId="32" applyFont="1" applyFill="1" applyBorder="1" applyAlignment="1" applyProtection="1">
      <alignment horizontal="left" wrapText="1"/>
      <protection hidden="1"/>
    </xf>
    <xf numFmtId="0" fontId="3" fillId="4" borderId="3" xfId="32" applyFont="1" applyFill="1" applyBorder="1" applyAlignment="1" applyProtection="1">
      <alignment horizontal="left" wrapText="1"/>
      <protection hidden="1"/>
    </xf>
    <xf numFmtId="0" fontId="24" fillId="0" borderId="0" xfId="48" applyFont="1" applyAlignment="1">
      <alignment horizontal="center"/>
    </xf>
    <xf numFmtId="0" fontId="4" fillId="0" borderId="3" xfId="32" applyBorder="1" applyAlignment="1">
      <alignment horizontal="left" wrapText="1"/>
    </xf>
    <xf numFmtId="0" fontId="4" fillId="0" borderId="29" xfId="0" applyFont="1" applyBorder="1" applyAlignment="1" applyProtection="1">
      <alignment horizontal="left" vertical="center"/>
      <protection hidden="1"/>
    </xf>
    <xf numFmtId="0" fontId="4" fillId="0" borderId="28" xfId="0" applyFont="1" applyBorder="1" applyAlignment="1" applyProtection="1">
      <alignment horizontal="left" vertical="center"/>
      <protection hidden="1"/>
    </xf>
    <xf numFmtId="0" fontId="4" fillId="0" borderId="27" xfId="0" applyFont="1" applyBorder="1" applyAlignment="1" applyProtection="1">
      <alignment horizontal="left" vertical="center"/>
      <protection hidden="1"/>
    </xf>
    <xf numFmtId="0" fontId="4" fillId="0" borderId="22" xfId="0" applyFont="1" applyBorder="1" applyAlignment="1" applyProtection="1">
      <alignment horizontal="left" vertical="center"/>
      <protection hidden="1"/>
    </xf>
    <xf numFmtId="0" fontId="4" fillId="0" borderId="0" xfId="0" applyFont="1" applyAlignment="1" applyProtection="1">
      <alignment horizontal="left" vertical="center"/>
      <protection hidden="1"/>
    </xf>
    <xf numFmtId="0" fontId="4" fillId="0" borderId="26" xfId="0" applyFont="1" applyBorder="1" applyAlignment="1" applyProtection="1">
      <alignment horizontal="left" vertical="center"/>
      <protection hidden="1"/>
    </xf>
    <xf numFmtId="0" fontId="4" fillId="0" borderId="7" xfId="0" applyFont="1" applyBorder="1" applyAlignment="1" applyProtection="1">
      <alignment horizontal="left" vertical="center"/>
      <protection hidden="1"/>
    </xf>
    <xf numFmtId="0" fontId="4" fillId="0" borderId="5" xfId="0" applyFont="1" applyBorder="1" applyAlignment="1" applyProtection="1">
      <alignment horizontal="left" vertical="center"/>
      <protection hidden="1"/>
    </xf>
    <xf numFmtId="0" fontId="4" fillId="0" borderId="2" xfId="0" applyFont="1" applyBorder="1" applyAlignment="1" applyProtection="1">
      <alignment horizontal="left" vertical="center"/>
      <protection hidden="1"/>
    </xf>
    <xf numFmtId="165" fontId="3" fillId="4" borderId="10" xfId="32" applyNumberFormat="1" applyFont="1" applyFill="1" applyBorder="1" applyAlignment="1" applyProtection="1">
      <alignment horizontal="left" wrapText="1"/>
      <protection hidden="1"/>
    </xf>
    <xf numFmtId="165" fontId="3" fillId="4" borderId="1" xfId="32" applyNumberFormat="1" applyFont="1" applyFill="1" applyBorder="1" applyAlignment="1" applyProtection="1">
      <alignment horizontal="left" wrapText="1"/>
      <protection hidden="1"/>
    </xf>
    <xf numFmtId="165" fontId="3" fillId="4" borderId="3" xfId="32" applyNumberFormat="1" applyFont="1" applyFill="1" applyBorder="1" applyAlignment="1" applyProtection="1">
      <alignment horizontal="left" wrapText="1"/>
      <protection hidden="1"/>
    </xf>
    <xf numFmtId="0" fontId="32" fillId="13" borderId="10" xfId="32" applyFont="1" applyFill="1" applyBorder="1" applyAlignment="1" applyProtection="1">
      <alignment horizontal="left" wrapText="1" readingOrder="1"/>
      <protection hidden="1"/>
    </xf>
    <xf numFmtId="0" fontId="32" fillId="13" borderId="1" xfId="32" applyFont="1" applyFill="1" applyBorder="1" applyAlignment="1" applyProtection="1">
      <alignment horizontal="left" wrapText="1" readingOrder="1"/>
      <protection hidden="1"/>
    </xf>
    <xf numFmtId="0" fontId="32" fillId="13" borderId="3" xfId="32" applyFont="1" applyFill="1" applyBorder="1" applyAlignment="1" applyProtection="1">
      <alignment horizontal="left" wrapText="1" readingOrder="1"/>
      <protection hidden="1"/>
    </xf>
    <xf numFmtId="0" fontId="35" fillId="0" borderId="29" xfId="0" applyFont="1" applyBorder="1" applyAlignment="1" applyProtection="1">
      <alignment horizontal="left" vertical="center"/>
      <protection hidden="1"/>
    </xf>
    <xf numFmtId="0" fontId="35" fillId="0" borderId="28" xfId="0" applyFont="1" applyBorder="1" applyAlignment="1" applyProtection="1">
      <alignment horizontal="left" vertical="center"/>
      <protection hidden="1"/>
    </xf>
    <xf numFmtId="0" fontId="35" fillId="0" borderId="27" xfId="0" applyFont="1" applyBorder="1" applyAlignment="1" applyProtection="1">
      <alignment horizontal="left" vertical="center"/>
      <protection hidden="1"/>
    </xf>
    <xf numFmtId="0" fontId="35" fillId="0" borderId="22" xfId="0" applyFont="1" applyBorder="1" applyAlignment="1" applyProtection="1">
      <alignment horizontal="left" vertical="center"/>
      <protection hidden="1"/>
    </xf>
    <xf numFmtId="0" fontId="35" fillId="0" borderId="0" xfId="0" applyFont="1" applyAlignment="1" applyProtection="1">
      <alignment horizontal="left" vertical="center"/>
      <protection hidden="1"/>
    </xf>
    <xf numFmtId="0" fontId="35" fillId="0" borderId="26" xfId="0" applyFont="1" applyBorder="1" applyAlignment="1" applyProtection="1">
      <alignment horizontal="left" vertical="center"/>
      <protection hidden="1"/>
    </xf>
    <xf numFmtId="0" fontId="35" fillId="0" borderId="7" xfId="0" applyFont="1" applyBorder="1" applyAlignment="1" applyProtection="1">
      <alignment horizontal="left" vertical="center"/>
      <protection hidden="1"/>
    </xf>
    <xf numFmtId="0" fontId="35" fillId="0" borderId="5" xfId="0" applyFont="1" applyBorder="1" applyAlignment="1" applyProtection="1">
      <alignment horizontal="left" vertical="center"/>
      <protection hidden="1"/>
    </xf>
    <xf numFmtId="0" fontId="35" fillId="0" borderId="2" xfId="0" applyFont="1" applyBorder="1" applyAlignment="1" applyProtection="1">
      <alignment horizontal="left" vertical="center"/>
      <protection hidden="1"/>
    </xf>
    <xf numFmtId="0" fontId="38" fillId="5" borderId="41" xfId="0" applyFont="1" applyFill="1" applyBorder="1" applyAlignment="1">
      <alignment wrapText="1"/>
    </xf>
    <xf numFmtId="0" fontId="38" fillId="5" borderId="37" xfId="0" applyFont="1" applyFill="1" applyBorder="1" applyAlignment="1">
      <alignment wrapText="1"/>
    </xf>
    <xf numFmtId="0" fontId="38" fillId="5" borderId="42" xfId="0" applyFont="1" applyFill="1" applyBorder="1" applyAlignment="1">
      <alignment wrapText="1"/>
    </xf>
    <xf numFmtId="0" fontId="32" fillId="13" borderId="10" xfId="32" applyFont="1" applyFill="1" applyBorder="1" applyAlignment="1" applyProtection="1">
      <alignment horizontal="left" vertical="top"/>
      <protection hidden="1"/>
    </xf>
    <xf numFmtId="0" fontId="33" fillId="13" borderId="1" xfId="32" applyFont="1" applyFill="1" applyBorder="1" applyAlignment="1">
      <alignment vertical="top"/>
    </xf>
    <xf numFmtId="0" fontId="32" fillId="13" borderId="10" xfId="32" applyFont="1" applyFill="1" applyBorder="1" applyAlignment="1" applyProtection="1">
      <alignment wrapText="1"/>
      <protection hidden="1"/>
    </xf>
    <xf numFmtId="0" fontId="42" fillId="15" borderId="29" xfId="124" applyFont="1" applyFill="1" applyBorder="1" applyAlignment="1">
      <alignment horizontal="center"/>
    </xf>
    <xf numFmtId="0" fontId="42" fillId="15" borderId="28" xfId="124" applyFont="1" applyFill="1" applyBorder="1" applyAlignment="1">
      <alignment horizontal="center"/>
    </xf>
    <xf numFmtId="0" fontId="42" fillId="15" borderId="27" xfId="124" applyFont="1" applyFill="1" applyBorder="1" applyAlignment="1">
      <alignment horizontal="center"/>
    </xf>
    <xf numFmtId="0" fontId="31" fillId="15" borderId="29" xfId="124" applyFont="1" applyFill="1" applyBorder="1" applyAlignment="1">
      <alignment horizontal="center"/>
    </xf>
    <xf numFmtId="0" fontId="31" fillId="15" borderId="28" xfId="124" applyFont="1" applyFill="1" applyBorder="1" applyAlignment="1">
      <alignment horizontal="center"/>
    </xf>
    <xf numFmtId="0" fontId="31" fillId="15" borderId="27" xfId="124" applyFont="1" applyFill="1" applyBorder="1" applyAlignment="1">
      <alignment horizontal="center"/>
    </xf>
  </cellXfs>
  <cellStyles count="127">
    <cellStyle name="Comma 2" xfId="1" xr:uid="{00000000-0005-0000-0000-000000000000}"/>
    <cellStyle name="Comma 2 2" xfId="2" xr:uid="{00000000-0005-0000-0000-000001000000}"/>
    <cellStyle name="Comma 2 3" xfId="3" xr:uid="{00000000-0005-0000-0000-000002000000}"/>
    <cellStyle name="Comma 2 4" xfId="4" xr:uid="{00000000-0005-0000-0000-000003000000}"/>
    <cellStyle name="Comma 3" xfId="5" xr:uid="{00000000-0005-0000-0000-000004000000}"/>
    <cellStyle name="Comma 3 2" xfId="6" xr:uid="{00000000-0005-0000-0000-000005000000}"/>
    <cellStyle name="Comma 3 3" xfId="7" xr:uid="{00000000-0005-0000-0000-000006000000}"/>
    <cellStyle name="Comma 3 3 2" xfId="8" xr:uid="{00000000-0005-0000-0000-000007000000}"/>
    <cellStyle name="Comma 3 4" xfId="9" xr:uid="{00000000-0005-0000-0000-000008000000}"/>
    <cellStyle name="Comma 4" xfId="10" xr:uid="{00000000-0005-0000-0000-000009000000}"/>
    <cellStyle name="Comma 4 2" xfId="11" xr:uid="{00000000-0005-0000-0000-00000A000000}"/>
    <cellStyle name="Comma 5" xfId="12" xr:uid="{00000000-0005-0000-0000-00000B000000}"/>
    <cellStyle name="Comma 5 2" xfId="13" xr:uid="{00000000-0005-0000-0000-00000C000000}"/>
    <cellStyle name="Comma 5 3" xfId="14" xr:uid="{00000000-0005-0000-0000-00000D000000}"/>
    <cellStyle name="Comma 5 3 2" xfId="15" xr:uid="{00000000-0005-0000-0000-00000E000000}"/>
    <cellStyle name="Comma 6" xfId="16" xr:uid="{00000000-0005-0000-0000-00000F000000}"/>
    <cellStyle name="Comma 6 2" xfId="17" xr:uid="{00000000-0005-0000-0000-000010000000}"/>
    <cellStyle name="Comma 6 3" xfId="18" xr:uid="{00000000-0005-0000-0000-000011000000}"/>
    <cellStyle name="Comma 6 3 2" xfId="19" xr:uid="{00000000-0005-0000-0000-000012000000}"/>
    <cellStyle name="Comma 7" xfId="20" xr:uid="{00000000-0005-0000-0000-000013000000}"/>
    <cellStyle name="Comma 7 2" xfId="21" xr:uid="{00000000-0005-0000-0000-000014000000}"/>
    <cellStyle name="Comma 7 3" xfId="22" xr:uid="{00000000-0005-0000-0000-000015000000}"/>
    <cellStyle name="Currency 2" xfId="23" xr:uid="{00000000-0005-0000-0000-000016000000}"/>
    <cellStyle name="Currency 3" xfId="24" xr:uid="{00000000-0005-0000-0000-000017000000}"/>
    <cellStyle name="Currency 3 2" xfId="25" xr:uid="{00000000-0005-0000-0000-000018000000}"/>
    <cellStyle name="Currency 3 3" xfId="26" xr:uid="{00000000-0005-0000-0000-000019000000}"/>
    <cellStyle name="Hyperlink" xfId="126" builtinId="8"/>
    <cellStyle name="Hyperlink 2" xfId="27" xr:uid="{00000000-0005-0000-0000-00001A000000}"/>
    <cellStyle name="Hyperlink 2 2" xfId="28" xr:uid="{00000000-0005-0000-0000-00001B000000}"/>
    <cellStyle name="Hyperlink 2 3" xfId="29" xr:uid="{00000000-0005-0000-0000-00001C000000}"/>
    <cellStyle name="Hyperlink 3" xfId="30" xr:uid="{00000000-0005-0000-0000-00001D000000}"/>
    <cellStyle name="Hyperlink 3 2" xfId="31" xr:uid="{00000000-0005-0000-0000-00001E000000}"/>
    <cellStyle name="Normal" xfId="0" builtinId="0"/>
    <cellStyle name="Normal 10" xfId="124" xr:uid="{20CE2A26-7A43-43F5-BEB8-3E8F072A5EAA}"/>
    <cellStyle name="Normal 2" xfId="32" xr:uid="{00000000-0005-0000-0000-000020000000}"/>
    <cellStyle name="Normal 2 2" xfId="33" xr:uid="{00000000-0005-0000-0000-000021000000}"/>
    <cellStyle name="Normal 2 2 2" xfId="34" xr:uid="{00000000-0005-0000-0000-000022000000}"/>
    <cellStyle name="Normal 2 2 2 2" xfId="35" xr:uid="{00000000-0005-0000-0000-000023000000}"/>
    <cellStyle name="Normal 2 2 2 3" xfId="36" xr:uid="{00000000-0005-0000-0000-000024000000}"/>
    <cellStyle name="Normal 2 2 3" xfId="37" xr:uid="{00000000-0005-0000-0000-000025000000}"/>
    <cellStyle name="Normal 2 2 4" xfId="38" xr:uid="{00000000-0005-0000-0000-000026000000}"/>
    <cellStyle name="Normal 2 2 5" xfId="39" xr:uid="{00000000-0005-0000-0000-000027000000}"/>
    <cellStyle name="Normal 2 3" xfId="40" xr:uid="{00000000-0005-0000-0000-000028000000}"/>
    <cellStyle name="Normal 2 3 2" xfId="41" xr:uid="{00000000-0005-0000-0000-000029000000}"/>
    <cellStyle name="Normal 2 3 3" xfId="42" xr:uid="{00000000-0005-0000-0000-00002A000000}"/>
    <cellStyle name="Normal 2 4" xfId="43" xr:uid="{00000000-0005-0000-0000-00002B000000}"/>
    <cellStyle name="Normal 2 5" xfId="44" xr:uid="{00000000-0005-0000-0000-00002C000000}"/>
    <cellStyle name="Normal 2 6" xfId="45" xr:uid="{00000000-0005-0000-0000-00002D000000}"/>
    <cellStyle name="Normal 3" xfId="46" xr:uid="{00000000-0005-0000-0000-00002E000000}"/>
    <cellStyle name="Normal 3 2" xfId="47" xr:uid="{00000000-0005-0000-0000-00002F000000}"/>
    <cellStyle name="Normal 3 2 2" xfId="48" xr:uid="{00000000-0005-0000-0000-000030000000}"/>
    <cellStyle name="Normal 3 2 3" xfId="49" xr:uid="{00000000-0005-0000-0000-000031000000}"/>
    <cellStyle name="Normal 3 2 4" xfId="50" xr:uid="{00000000-0005-0000-0000-000032000000}"/>
    <cellStyle name="Normal 3 2 4 2" xfId="51" xr:uid="{00000000-0005-0000-0000-000033000000}"/>
    <cellStyle name="Normal 3 2 4 3" xfId="52" xr:uid="{00000000-0005-0000-0000-000034000000}"/>
    <cellStyle name="Normal 3 2 5" xfId="53" xr:uid="{00000000-0005-0000-0000-000035000000}"/>
    <cellStyle name="Normal 3 3" xfId="54" xr:uid="{00000000-0005-0000-0000-000036000000}"/>
    <cellStyle name="Normal 3 4" xfId="55" xr:uid="{00000000-0005-0000-0000-000037000000}"/>
    <cellStyle name="Normal 3 5" xfId="56" xr:uid="{00000000-0005-0000-0000-000038000000}"/>
    <cellStyle name="Normal 3 6" xfId="57" xr:uid="{00000000-0005-0000-0000-000039000000}"/>
    <cellStyle name="Normal 4" xfId="58" xr:uid="{00000000-0005-0000-0000-00003A000000}"/>
    <cellStyle name="Normal 4 2" xfId="59" xr:uid="{00000000-0005-0000-0000-00003B000000}"/>
    <cellStyle name="Normal 4 2 2" xfId="60" xr:uid="{00000000-0005-0000-0000-00003C000000}"/>
    <cellStyle name="Normal 4 2 3" xfId="61" xr:uid="{00000000-0005-0000-0000-00003D000000}"/>
    <cellStyle name="Normal 4 3" xfId="62" xr:uid="{00000000-0005-0000-0000-00003E000000}"/>
    <cellStyle name="Normal 5" xfId="63" xr:uid="{00000000-0005-0000-0000-00003F000000}"/>
    <cellStyle name="Normal 5 2" xfId="64" xr:uid="{00000000-0005-0000-0000-000040000000}"/>
    <cellStyle name="Normal 5 3" xfId="65" xr:uid="{00000000-0005-0000-0000-000041000000}"/>
    <cellStyle name="Normal 5 4" xfId="66" xr:uid="{00000000-0005-0000-0000-000042000000}"/>
    <cellStyle name="Normal 6" xfId="67" xr:uid="{00000000-0005-0000-0000-000043000000}"/>
    <cellStyle name="Normal 6 2" xfId="68" xr:uid="{00000000-0005-0000-0000-000044000000}"/>
    <cellStyle name="Normal 6 3" xfId="69" xr:uid="{00000000-0005-0000-0000-000045000000}"/>
    <cellStyle name="Normal 6 3 2" xfId="70" xr:uid="{00000000-0005-0000-0000-000046000000}"/>
    <cellStyle name="Normal 6 3 3" xfId="71" xr:uid="{00000000-0005-0000-0000-000047000000}"/>
    <cellStyle name="Normal 7" xfId="72" xr:uid="{00000000-0005-0000-0000-000048000000}"/>
    <cellStyle name="Normal 7 2" xfId="73" xr:uid="{00000000-0005-0000-0000-000049000000}"/>
    <cellStyle name="Normal 8" xfId="74" xr:uid="{00000000-0005-0000-0000-00004A000000}"/>
    <cellStyle name="Normal 8 2" xfId="75" xr:uid="{00000000-0005-0000-0000-00004B000000}"/>
    <cellStyle name="Normal 9" xfId="76" xr:uid="{00000000-0005-0000-0000-00004C000000}"/>
    <cellStyle name="Normal 9 2" xfId="77" xr:uid="{00000000-0005-0000-0000-00004D000000}"/>
    <cellStyle name="Per cent" xfId="125" builtinId="5"/>
    <cellStyle name="Percent 10" xfId="78" xr:uid="{00000000-0005-0000-0000-00004E000000}"/>
    <cellStyle name="Percent 10 2" xfId="79" xr:uid="{00000000-0005-0000-0000-00004F000000}"/>
    <cellStyle name="Percent 10 3" xfId="80" xr:uid="{00000000-0005-0000-0000-000050000000}"/>
    <cellStyle name="Percent 10 4" xfId="81" xr:uid="{00000000-0005-0000-0000-000051000000}"/>
    <cellStyle name="Percent 10 5" xfId="82" xr:uid="{00000000-0005-0000-0000-000052000000}"/>
    <cellStyle name="Percent 2" xfId="83" xr:uid="{00000000-0005-0000-0000-000053000000}"/>
    <cellStyle name="Percent 2 2" xfId="84" xr:uid="{00000000-0005-0000-0000-000054000000}"/>
    <cellStyle name="Percent 2 3" xfId="85" xr:uid="{00000000-0005-0000-0000-000055000000}"/>
    <cellStyle name="Percent 2 3 2" xfId="86" xr:uid="{00000000-0005-0000-0000-000056000000}"/>
    <cellStyle name="Percent 2 3 3" xfId="87" xr:uid="{00000000-0005-0000-0000-000057000000}"/>
    <cellStyle name="Percent 2 3 4" xfId="88" xr:uid="{00000000-0005-0000-0000-000058000000}"/>
    <cellStyle name="Percent 2 4" xfId="89" xr:uid="{00000000-0005-0000-0000-000059000000}"/>
    <cellStyle name="Percent 2 5" xfId="90" xr:uid="{00000000-0005-0000-0000-00005A000000}"/>
    <cellStyle name="Percent 2 5 2" xfId="91" xr:uid="{00000000-0005-0000-0000-00005B000000}"/>
    <cellStyle name="Percent 2 5 3" xfId="92" xr:uid="{00000000-0005-0000-0000-00005C000000}"/>
    <cellStyle name="Percent 2 6" xfId="93" xr:uid="{00000000-0005-0000-0000-00005D000000}"/>
    <cellStyle name="Percent 3" xfId="94" xr:uid="{00000000-0005-0000-0000-00005E000000}"/>
    <cellStyle name="Percent 3 2" xfId="95" xr:uid="{00000000-0005-0000-0000-00005F000000}"/>
    <cellStyle name="Percent 4" xfId="96" xr:uid="{00000000-0005-0000-0000-000060000000}"/>
    <cellStyle name="Percent 4 2" xfId="97" xr:uid="{00000000-0005-0000-0000-000061000000}"/>
    <cellStyle name="Percent 5" xfId="98" xr:uid="{00000000-0005-0000-0000-000062000000}"/>
    <cellStyle name="Percent 5 2" xfId="99" xr:uid="{00000000-0005-0000-0000-000063000000}"/>
    <cellStyle name="Percent 5 2 2" xfId="100" xr:uid="{00000000-0005-0000-0000-000064000000}"/>
    <cellStyle name="Percent 5 2 3" xfId="101" xr:uid="{00000000-0005-0000-0000-000065000000}"/>
    <cellStyle name="Percent 5 2 3 2" xfId="102" xr:uid="{00000000-0005-0000-0000-000066000000}"/>
    <cellStyle name="Percent 5 2 3 3" xfId="103" xr:uid="{00000000-0005-0000-0000-000067000000}"/>
    <cellStyle name="Percent 5 3" xfId="104" xr:uid="{00000000-0005-0000-0000-000068000000}"/>
    <cellStyle name="Percent 5 3 2" xfId="105" xr:uid="{00000000-0005-0000-0000-000069000000}"/>
    <cellStyle name="Percent 6" xfId="106" xr:uid="{00000000-0005-0000-0000-00006A000000}"/>
    <cellStyle name="Percent 6 2" xfId="107" xr:uid="{00000000-0005-0000-0000-00006B000000}"/>
    <cellStyle name="Percent 6 3" xfId="108" xr:uid="{00000000-0005-0000-0000-00006C000000}"/>
    <cellStyle name="Percent 6 3 2" xfId="109" xr:uid="{00000000-0005-0000-0000-00006D000000}"/>
    <cellStyle name="Percent 7" xfId="110" xr:uid="{00000000-0005-0000-0000-00006E000000}"/>
    <cellStyle name="Percent 7 2" xfId="111" xr:uid="{00000000-0005-0000-0000-00006F000000}"/>
    <cellStyle name="Percent 7 3" xfId="112" xr:uid="{00000000-0005-0000-0000-000070000000}"/>
    <cellStyle name="Percent 7 4" xfId="113" xr:uid="{00000000-0005-0000-0000-000071000000}"/>
    <cellStyle name="Percent 7 4 2" xfId="114" xr:uid="{00000000-0005-0000-0000-000072000000}"/>
    <cellStyle name="Percent 7 4 3" xfId="115" xr:uid="{00000000-0005-0000-0000-000073000000}"/>
    <cellStyle name="Percent 7 5" xfId="116" xr:uid="{00000000-0005-0000-0000-000074000000}"/>
    <cellStyle name="Percent 7 5 2" xfId="117" xr:uid="{00000000-0005-0000-0000-000075000000}"/>
    <cellStyle name="Percent 8" xfId="118" xr:uid="{00000000-0005-0000-0000-000076000000}"/>
    <cellStyle name="Percent 8 2" xfId="119" xr:uid="{00000000-0005-0000-0000-000077000000}"/>
    <cellStyle name="Percent 8 3" xfId="120" xr:uid="{00000000-0005-0000-0000-000078000000}"/>
    <cellStyle name="Percent 8 3 2" xfId="121" xr:uid="{00000000-0005-0000-0000-000079000000}"/>
    <cellStyle name="Percent 9" xfId="122" xr:uid="{00000000-0005-0000-0000-00007A000000}"/>
    <cellStyle name="Percent 9 2" xfId="123" xr:uid="{00000000-0005-0000-0000-00007B000000}"/>
  </cellStyles>
  <dxfs count="53">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i val="0"/>
        <strike val="0"/>
        <condense val="0"/>
        <extend val="0"/>
        <outline val="0"/>
        <shadow val="0"/>
        <u val="none"/>
        <vertAlign val="baseline"/>
        <sz val="11"/>
        <color theme="1"/>
        <name val="Aptos"/>
        <family val="2"/>
        <scheme val="none"/>
      </font>
      <fill>
        <patternFill patternType="solid">
          <fgColor indexed="64"/>
          <bgColor theme="0"/>
        </patternFill>
      </fill>
      <border diagonalUp="0" diagonalDown="0" outline="0">
        <left/>
        <right/>
        <top/>
        <bottom style="thin">
          <color indexed="64"/>
        </bottom>
      </border>
    </dxf>
    <dxf>
      <border outline="0">
        <left style="thin">
          <color indexed="64"/>
        </left>
        <top style="thin">
          <color indexed="64"/>
        </top>
        <bottom style="thin">
          <color indexed="64"/>
        </bottom>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fill>
        <patternFill patternType="solid">
          <fgColor indexed="64"/>
          <bgColor theme="0"/>
        </patternFill>
      </fill>
    </dxf>
  </dxfs>
  <tableStyles count="1" defaultTableStyle="TableStyleMedium9" defaultPivotStyle="PivotStyleLight16">
    <tableStyle name="Invisible" pivot="0" table="0" count="0" xr9:uid="{244035F0-C914-4892-9048-29DDCF5FDBB0}"/>
  </tableStyles>
  <colors>
    <mruColors>
      <color rgb="FFAD9244"/>
      <color rgb="FF3A6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333333"/>
                </a:solidFill>
                <a:latin typeface="Calibri"/>
                <a:ea typeface="Calibri"/>
                <a:cs typeface="Calibri"/>
              </a:defRPr>
            </a:pPr>
            <a:r>
              <a:rPr lang="en-ZA"/>
              <a:t>Margin Comparison / Marge Vergelyking: Eastern Region</a:t>
            </a:r>
          </a:p>
        </c:rich>
      </c:tx>
      <c:overlay val="0"/>
      <c:spPr>
        <a:noFill/>
        <a:ln w="25400">
          <a:noFill/>
        </a:ln>
      </c:spPr>
    </c:title>
    <c:autoTitleDeleted val="0"/>
    <c:plotArea>
      <c:layout>
        <c:manualLayout>
          <c:layoutTarget val="inner"/>
          <c:xMode val="edge"/>
          <c:yMode val="edge"/>
          <c:x val="7.4760436655062143E-2"/>
          <c:y val="9.9899327933357679E-2"/>
          <c:w val="0.89616221877381819"/>
          <c:h val="0.71926749369476772"/>
        </c:manualLayout>
      </c:layout>
      <c:barChart>
        <c:barDir val="col"/>
        <c:grouping val="clustered"/>
        <c:varyColors val="0"/>
        <c:ser>
          <c:idx val="0"/>
          <c:order val="0"/>
          <c:tx>
            <c:strRef>
              <c:f>'Crop Comparison'!$A$34</c:f>
              <c:strCache>
                <c:ptCount val="1"/>
                <c:pt idx="0">
                  <c:v>3) GROSS MARGIN  (R/ha)</c:v>
                </c:pt>
              </c:strCache>
            </c:strRef>
          </c:tx>
          <c:spPr>
            <a:solidFill>
              <a:schemeClr val="bg1"/>
            </a:solidFill>
            <a:ln w="25400">
              <a:solidFill>
                <a:schemeClr val="accent1"/>
              </a:solidFill>
            </a:ln>
            <a:effectLst/>
          </c:spPr>
          <c:invertIfNegative val="0"/>
          <c:dLbls>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Comparison'!$B$2:$F$2</c:f>
              <c:strCache>
                <c:ptCount val="5"/>
                <c:pt idx="0">
                  <c:v>Maize (RR)</c:v>
                </c:pt>
                <c:pt idx="1">
                  <c:v>Soybean</c:v>
                </c:pt>
                <c:pt idx="2">
                  <c:v>Soy bean (min tillage)</c:v>
                </c:pt>
                <c:pt idx="3">
                  <c:v>Grain Sorghum</c:v>
                </c:pt>
                <c:pt idx="4">
                  <c:v>Irr-Maize</c:v>
                </c:pt>
              </c:strCache>
            </c:strRef>
          </c:cat>
          <c:val>
            <c:numRef>
              <c:f>'Crop Comparison'!$B$34:$F$34</c:f>
              <c:numCache>
                <c:formatCode>_-"R"* #\ ##0_-;\-"R"* #\ ##0_-;_-"R"* "-"??_-;_-@_-</c:formatCode>
                <c:ptCount val="5"/>
                <c:pt idx="0">
                  <c:v>3215.5274055430382</c:v>
                </c:pt>
                <c:pt idx="1">
                  <c:v>3062.9608897852067</c:v>
                </c:pt>
                <c:pt idx="2">
                  <c:v>3576.5850349908942</c:v>
                </c:pt>
                <c:pt idx="3">
                  <c:v>3533.0935314300004</c:v>
                </c:pt>
                <c:pt idx="4">
                  <c:v>-7635.3905452170293</c:v>
                </c:pt>
              </c:numCache>
            </c:numRef>
          </c:val>
          <c:extLst>
            <c:ext xmlns:c16="http://schemas.microsoft.com/office/drawing/2014/chart" uri="{C3380CC4-5D6E-409C-BE32-E72D297353CC}">
              <c16:uniqueId val="{00000000-BCD0-4EF7-8439-1915A07377B5}"/>
            </c:ext>
          </c:extLst>
        </c:ser>
        <c:ser>
          <c:idx val="1"/>
          <c:order val="1"/>
          <c:tx>
            <c:strRef>
              <c:f>'Crop Comparison'!$A$35</c:f>
              <c:strCache>
                <c:ptCount val="1"/>
                <c:pt idx="0">
                  <c:v>4) NETT MARGIN  (R/ha)</c:v>
                </c:pt>
              </c:strCache>
            </c:strRef>
          </c:tx>
          <c:spPr>
            <a:noFill/>
            <a:ln w="25400">
              <a:solidFill>
                <a:srgbClr val="FF0000"/>
              </a:solidFill>
            </a:ln>
          </c:spPr>
          <c:invertIfNegative val="0"/>
          <c:dLbls>
            <c:spPr>
              <a:noFill/>
              <a:ln w="15875">
                <a:solidFill>
                  <a:srgbClr val="FF0000"/>
                </a:solid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Comparison'!$B$2:$F$2</c:f>
              <c:strCache>
                <c:ptCount val="5"/>
                <c:pt idx="0">
                  <c:v>Maize (RR)</c:v>
                </c:pt>
                <c:pt idx="1">
                  <c:v>Soybean</c:v>
                </c:pt>
                <c:pt idx="2">
                  <c:v>Soy bean (min tillage)</c:v>
                </c:pt>
                <c:pt idx="3">
                  <c:v>Grain Sorghum</c:v>
                </c:pt>
                <c:pt idx="4">
                  <c:v>Irr-Maize</c:v>
                </c:pt>
              </c:strCache>
            </c:strRef>
          </c:cat>
          <c:val>
            <c:numRef>
              <c:f>'Crop Comparison'!$B$35:$F$35</c:f>
              <c:numCache>
                <c:formatCode>_-"R"* #\ ##0_-;\-"R"* #\ ##0_-;_-"R"* "-"??_-;_-@_-</c:formatCode>
                <c:ptCount val="5"/>
                <c:pt idx="0">
                  <c:v>-5100.3725944569596</c:v>
                </c:pt>
                <c:pt idx="1">
                  <c:v>-4064.6091102147911</c:v>
                </c:pt>
                <c:pt idx="2">
                  <c:v>-582.42496500910784</c:v>
                </c:pt>
                <c:pt idx="3">
                  <c:v>-3961.9764685699993</c:v>
                </c:pt>
                <c:pt idx="4">
                  <c:v>-16690.470545217031</c:v>
                </c:pt>
              </c:numCache>
            </c:numRef>
          </c:val>
          <c:extLst>
            <c:ext xmlns:c16="http://schemas.microsoft.com/office/drawing/2014/chart" uri="{C3380CC4-5D6E-409C-BE32-E72D297353CC}">
              <c16:uniqueId val="{00000001-BCD0-4EF7-8439-1915A07377B5}"/>
            </c:ext>
          </c:extLst>
        </c:ser>
        <c:dLbls>
          <c:showLegendKey val="0"/>
          <c:showVal val="0"/>
          <c:showCatName val="0"/>
          <c:showSerName val="0"/>
          <c:showPercent val="0"/>
          <c:showBubbleSize val="0"/>
        </c:dLbls>
        <c:gapWidth val="150"/>
        <c:axId val="1960652191"/>
        <c:axId val="1"/>
      </c:barChart>
      <c:catAx>
        <c:axId val="1960652191"/>
        <c:scaling>
          <c:orientation val="minMax"/>
        </c:scaling>
        <c:delete val="0"/>
        <c:axPos val="b"/>
        <c:numFmt formatCode="General" sourceLinked="1"/>
        <c:majorTickMark val="none"/>
        <c:minorTickMark val="none"/>
        <c:tickLblPos val="nextTo"/>
        <c:spPr>
          <a:ln w="9525">
            <a:noFill/>
          </a:ln>
        </c:spPr>
        <c:txPr>
          <a:bodyPr rot="0" vert="horz"/>
          <a:lstStyle/>
          <a:p>
            <a:pPr>
              <a:defRPr sz="1050" b="1"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 ##0_-;\-&quot;R&quot;* #\ ##0_-;_-&quot;R&quot;* &quot;-&quot;??_-;_-@_-" sourceLinked="1"/>
        <c:majorTickMark val="none"/>
        <c:minorTickMark val="none"/>
        <c:tickLblPos val="nextTo"/>
        <c:spPr>
          <a:ln w="9525">
            <a:noFill/>
          </a:ln>
        </c:spPr>
        <c:txPr>
          <a:bodyPr rot="0" vert="horz"/>
          <a:lstStyle/>
          <a:p>
            <a:pPr>
              <a:defRPr sz="1100" b="0" i="0" u="none" strike="noStrike" baseline="0">
                <a:solidFill>
                  <a:srgbClr val="333333"/>
                </a:solidFill>
                <a:latin typeface="Calibri"/>
                <a:ea typeface="Calibri"/>
                <a:cs typeface="Calibri"/>
              </a:defRPr>
            </a:pPr>
            <a:endParaRPr lang="en-US"/>
          </a:p>
        </c:txPr>
        <c:crossAx val="1960652191"/>
        <c:crosses val="autoZero"/>
        <c:crossBetween val="between"/>
      </c:valAx>
      <c:spPr>
        <a:noFill/>
        <a:ln w="25400">
          <a:noFill/>
        </a:ln>
      </c:spPr>
    </c:plotArea>
    <c:legend>
      <c:legendPos val="r"/>
      <c:layout>
        <c:manualLayout>
          <c:xMode val="edge"/>
          <c:yMode val="edge"/>
          <c:x val="0.27480185268843704"/>
          <c:y val="0.87051158763733683"/>
          <c:w val="0.46695653163599088"/>
          <c:h val="8.7352373845961132E-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Maize</a:t>
            </a:r>
            <a:r>
              <a:rPr lang="en-GB" baseline="0"/>
              <a:t> profitability</a:t>
            </a:r>
            <a:endParaRPr lang="en-GB"/>
          </a:p>
        </c:rich>
      </c:tx>
      <c:layout>
        <c:manualLayout>
          <c:xMode val="edge"/>
          <c:yMode val="edge"/>
          <c:x val="0.36515643422033961"/>
          <c:y val="4.5121293054536903E-2"/>
        </c:manualLayout>
      </c:layout>
      <c:overlay val="0"/>
    </c:title>
    <c:autoTitleDeleted val="0"/>
    <c:plotArea>
      <c:layout>
        <c:manualLayout>
          <c:layoutTarget val="inner"/>
          <c:xMode val="edge"/>
          <c:yMode val="edge"/>
          <c:x val="0.31595315843735494"/>
          <c:y val="0.21822815626307582"/>
          <c:w val="0.37018027676117948"/>
          <c:h val="0.77913437697758137"/>
        </c:manualLayout>
      </c:layout>
      <c:doughnutChart>
        <c:varyColors val="1"/>
        <c:ser>
          <c:idx val="0"/>
          <c:order val="0"/>
          <c:tx>
            <c:strRef>
              <c:f>Grafieke!$A$1</c:f>
              <c:strCache>
                <c:ptCount val="1"/>
                <c:pt idx="0">
                  <c:v>Winsgewendheid: Mielies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FFA2-45D1-B3F5-AB45CA1D123F}"/>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FFA2-45D1-B3F5-AB45CA1D123F}"/>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FFA2-45D1-B3F5-AB45CA1D123F}"/>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FFA2-45D1-B3F5-AB45CA1D123F}"/>
              </c:ext>
            </c:extLst>
          </c:dPt>
          <c:dPt>
            <c:idx val="4"/>
            <c:bubble3D val="0"/>
            <c:spPr>
              <a:noFill/>
              <a:ln>
                <a:noFill/>
              </a:ln>
              <a:effectLst/>
            </c:spPr>
            <c:extLst>
              <c:ext xmlns:c16="http://schemas.microsoft.com/office/drawing/2014/chart" uri="{C3380CC4-5D6E-409C-BE32-E72D297353CC}">
                <c16:uniqueId val="{00000009-FFA2-45D1-B3F5-AB45CA1D123F}"/>
              </c:ext>
            </c:extLst>
          </c:dPt>
          <c:dLbls>
            <c:dLbl>
              <c:idx val="0"/>
              <c:delete val="1"/>
              <c:extLst>
                <c:ext xmlns:c15="http://schemas.microsoft.com/office/drawing/2012/chart" uri="{CE6537A1-D6FC-4f65-9D91-7224C49458BB}"/>
                <c:ext xmlns:c16="http://schemas.microsoft.com/office/drawing/2014/chart" uri="{C3380CC4-5D6E-409C-BE32-E72D297353CC}">
                  <c16:uniqueId val="{00000001-FFA2-45D1-B3F5-AB45CA1D123F}"/>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FFA2-45D1-B3F5-AB45CA1D123F}"/>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FFA2-45D1-B3F5-AB45CA1D123F}"/>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FFA2-45D1-B3F5-AB45CA1D123F}"/>
                </c:ext>
              </c:extLst>
            </c:dLbl>
            <c:dLbl>
              <c:idx val="4"/>
              <c:delete val="1"/>
              <c:extLst>
                <c:ext xmlns:c15="http://schemas.microsoft.com/office/drawing/2012/chart" uri="{CE6537A1-D6FC-4f65-9D91-7224C49458BB}"/>
                <c:ext xmlns:c16="http://schemas.microsoft.com/office/drawing/2014/chart" uri="{C3380CC4-5D6E-409C-BE32-E72D297353CC}">
                  <c16:uniqueId val="{00000009-FFA2-45D1-B3F5-AB45CA1D123F}"/>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40.649429158405212</c:v>
                </c:pt>
                <c:pt idx="2">
                  <c:v>13.486346369269162</c:v>
                </c:pt>
                <c:pt idx="3">
                  <c:v>45.864224472325631</c:v>
                </c:pt>
                <c:pt idx="4" formatCode="General">
                  <c:v>100</c:v>
                </c:pt>
              </c:numCache>
            </c:numRef>
          </c:val>
          <c:extLst>
            <c:ext xmlns:c16="http://schemas.microsoft.com/office/drawing/2014/chart" uri="{C3380CC4-5D6E-409C-BE32-E72D297353CC}">
              <c16:uniqueId val="{0000000A-FFA2-45D1-B3F5-AB45CA1D123F}"/>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FFA2-45D1-B3F5-AB45CA1D123F}"/>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FFA2-45D1-B3F5-AB45CA1D123F}"/>
              </c:ext>
            </c:extLst>
          </c:dPt>
          <c:dPt>
            <c:idx val="2"/>
            <c:bubble3D val="0"/>
            <c:spPr>
              <a:noFill/>
              <a:ln>
                <a:noFill/>
              </a:ln>
              <a:effectLst/>
            </c:spPr>
            <c:extLst>
              <c:ext xmlns:c16="http://schemas.microsoft.com/office/drawing/2014/chart" uri="{C3380CC4-5D6E-409C-BE32-E72D297353CC}">
                <c16:uniqueId val="{00000010-FFA2-45D1-B3F5-AB45CA1D123F}"/>
              </c:ext>
            </c:extLst>
          </c:dPt>
          <c:val>
            <c:numRef>
              <c:f>Grafieke!$F$2:$F$4</c:f>
              <c:numCache>
                <c:formatCode>General</c:formatCode>
                <c:ptCount val="3"/>
                <c:pt idx="0" formatCode="0">
                  <c:v>45.864224472325631</c:v>
                </c:pt>
                <c:pt idx="1">
                  <c:v>1</c:v>
                </c:pt>
                <c:pt idx="2" formatCode="0">
                  <c:v>153.13577552767435</c:v>
                </c:pt>
              </c:numCache>
            </c:numRef>
          </c:val>
          <c:extLst>
            <c:ext xmlns:c16="http://schemas.microsoft.com/office/drawing/2014/chart" uri="{C3380CC4-5D6E-409C-BE32-E72D297353CC}">
              <c16:uniqueId val="{00000011-FFA2-45D1-B3F5-AB45CA1D123F}"/>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Soybean</a:t>
            </a:r>
            <a:r>
              <a:rPr lang="en-GB" baseline="0"/>
              <a:t> profitability</a:t>
            </a:r>
            <a:endParaRPr lang="en-GB"/>
          </a:p>
        </c:rich>
      </c:tx>
      <c:overlay val="0"/>
    </c:title>
    <c:autoTitleDeleted val="0"/>
    <c:plotArea>
      <c:layout>
        <c:manualLayout>
          <c:layoutTarget val="inner"/>
          <c:xMode val="edge"/>
          <c:yMode val="edge"/>
          <c:x val="0.36214861111111107"/>
          <c:y val="0.28190701218591352"/>
          <c:w val="0.29671614583333333"/>
          <c:h val="0.71809298781408648"/>
        </c:manualLayout>
      </c:layout>
      <c:doughnutChart>
        <c:varyColors val="1"/>
        <c:ser>
          <c:idx val="0"/>
          <c:order val="0"/>
          <c:tx>
            <c:strRef>
              <c:f>Grafieke!$A$15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E47-4C91-97AC-E6C718FE6F0A}"/>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E47-4C91-97AC-E6C718FE6F0A}"/>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2E47-4C91-97AC-E6C718FE6F0A}"/>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E47-4C91-97AC-E6C718FE6F0A}"/>
              </c:ext>
            </c:extLst>
          </c:dPt>
          <c:dPt>
            <c:idx val="4"/>
            <c:bubble3D val="0"/>
            <c:spPr>
              <a:noFill/>
              <a:ln>
                <a:noFill/>
              </a:ln>
              <a:effectLst/>
            </c:spPr>
            <c:extLst>
              <c:ext xmlns:c16="http://schemas.microsoft.com/office/drawing/2014/chart" uri="{C3380CC4-5D6E-409C-BE32-E72D297353CC}">
                <c16:uniqueId val="{00000009-2E47-4C91-97AC-E6C718FE6F0A}"/>
              </c:ext>
            </c:extLst>
          </c:dPt>
          <c:dLbls>
            <c:dLbl>
              <c:idx val="0"/>
              <c:delete val="1"/>
              <c:extLst>
                <c:ext xmlns:c15="http://schemas.microsoft.com/office/drawing/2012/chart" uri="{CE6537A1-D6FC-4f65-9D91-7224C49458BB}"/>
                <c:ext xmlns:c16="http://schemas.microsoft.com/office/drawing/2014/chart" uri="{C3380CC4-5D6E-409C-BE32-E72D297353CC}">
                  <c16:uniqueId val="{00000001-2E47-4C91-97AC-E6C718FE6F0A}"/>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2E47-4C91-97AC-E6C718FE6F0A}"/>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2E47-4C91-97AC-E6C718FE6F0A}"/>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2E47-4C91-97AC-E6C718FE6F0A}"/>
                </c:ext>
              </c:extLst>
            </c:dLbl>
            <c:dLbl>
              <c:idx val="4"/>
              <c:delete val="1"/>
              <c:extLst>
                <c:ext xmlns:c15="http://schemas.microsoft.com/office/drawing/2012/chart" uri="{CE6537A1-D6FC-4f65-9D91-7224C49458BB}"/>
                <c:ext xmlns:c16="http://schemas.microsoft.com/office/drawing/2014/chart" uri="{C3380CC4-5D6E-409C-BE32-E72D297353CC}">
                  <c16:uniqueId val="{00000009-2E47-4C91-97AC-E6C718FE6F0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Grafieke!$C$16:$C$20</c:f>
              <c:numCache>
                <c:formatCode>0</c:formatCode>
                <c:ptCount val="5"/>
                <c:pt idx="0" formatCode="General">
                  <c:v>0</c:v>
                </c:pt>
                <c:pt idx="1">
                  <c:v>39.445289717271898</c:v>
                </c:pt>
                <c:pt idx="2">
                  <c:v>11.34939081335213</c:v>
                </c:pt>
                <c:pt idx="3">
                  <c:v>49.205319469375972</c:v>
                </c:pt>
                <c:pt idx="4" formatCode="General">
                  <c:v>100</c:v>
                </c:pt>
              </c:numCache>
            </c:numRef>
          </c:val>
          <c:extLst>
            <c:ext xmlns:c16="http://schemas.microsoft.com/office/drawing/2014/chart" uri="{C3380CC4-5D6E-409C-BE32-E72D297353CC}">
              <c16:uniqueId val="{0000000A-2E47-4C91-97AC-E6C718FE6F0A}"/>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Grafieke!$D$15</c:f>
              <c:strCache>
                <c:ptCount val="1"/>
                <c:pt idx="0">
                  <c:v>Pointer</c:v>
                </c:pt>
              </c:strCache>
            </c:strRef>
          </c:tx>
          <c:dPt>
            <c:idx val="0"/>
            <c:bubble3D val="0"/>
            <c:spPr>
              <a:noFill/>
              <a:ln>
                <a:noFill/>
              </a:ln>
              <a:effectLst/>
            </c:spPr>
            <c:extLst>
              <c:ext xmlns:c16="http://schemas.microsoft.com/office/drawing/2014/chart" uri="{C3380CC4-5D6E-409C-BE32-E72D297353CC}">
                <c16:uniqueId val="{0000000C-2E47-4C91-97AC-E6C718FE6F0A}"/>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2E47-4C91-97AC-E6C718FE6F0A}"/>
              </c:ext>
            </c:extLst>
          </c:dPt>
          <c:dPt>
            <c:idx val="2"/>
            <c:bubble3D val="0"/>
            <c:spPr>
              <a:noFill/>
              <a:ln>
                <a:noFill/>
              </a:ln>
              <a:effectLst/>
            </c:spPr>
            <c:extLst>
              <c:ext xmlns:c16="http://schemas.microsoft.com/office/drawing/2014/chart" uri="{C3380CC4-5D6E-409C-BE32-E72D297353CC}">
                <c16:uniqueId val="{00000010-2E47-4C91-97AC-E6C718FE6F0A}"/>
              </c:ext>
            </c:extLst>
          </c:dPt>
          <c:val>
            <c:numRef>
              <c:f>Grafieke!$F$16:$F$18</c:f>
              <c:numCache>
                <c:formatCode>General</c:formatCode>
                <c:ptCount val="3"/>
                <c:pt idx="0" formatCode="0">
                  <c:v>49.205319469375972</c:v>
                </c:pt>
                <c:pt idx="1">
                  <c:v>1</c:v>
                </c:pt>
                <c:pt idx="2" formatCode="0">
                  <c:v>149.79468053062402</c:v>
                </c:pt>
              </c:numCache>
            </c:numRef>
          </c:val>
          <c:extLst>
            <c:ext xmlns:c16="http://schemas.microsoft.com/office/drawing/2014/chart" uri="{C3380CC4-5D6E-409C-BE32-E72D297353CC}">
              <c16:uniqueId val="{00000011-2E47-4C91-97AC-E6C718FE6F0A}"/>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Mieliewinsgewendheid</a:t>
            </a:r>
          </a:p>
        </c:rich>
      </c:tx>
      <c:overlay val="0"/>
    </c:title>
    <c:autoTitleDeleted val="0"/>
    <c:plotArea>
      <c:layout>
        <c:manualLayout>
          <c:layoutTarget val="inner"/>
          <c:xMode val="edge"/>
          <c:yMode val="edge"/>
          <c:x val="0.31595315843735494"/>
          <c:y val="0.21822815626307582"/>
          <c:w val="0.37018027676117948"/>
          <c:h val="0.77913437697758137"/>
        </c:manualLayout>
      </c:layout>
      <c:doughnutChart>
        <c:varyColors val="1"/>
        <c:ser>
          <c:idx val="0"/>
          <c:order val="0"/>
          <c:tx>
            <c:strRef>
              <c:f>Grafieke!$A$1</c:f>
              <c:strCache>
                <c:ptCount val="1"/>
                <c:pt idx="0">
                  <c:v>Winsgewendheid: Mielies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49A9-4C48-92E1-BFCC8B444AD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49A9-4C48-92E1-BFCC8B444AD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49A9-4C48-92E1-BFCC8B444AD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49A9-4C48-92E1-BFCC8B444ADC}"/>
              </c:ext>
            </c:extLst>
          </c:dPt>
          <c:dPt>
            <c:idx val="4"/>
            <c:bubble3D val="0"/>
            <c:spPr>
              <a:noFill/>
              <a:ln>
                <a:noFill/>
              </a:ln>
              <a:effectLst/>
            </c:spPr>
            <c:extLst>
              <c:ext xmlns:c16="http://schemas.microsoft.com/office/drawing/2014/chart" uri="{C3380CC4-5D6E-409C-BE32-E72D297353CC}">
                <c16:uniqueId val="{00000009-49A9-4C48-92E1-BFCC8B444ADC}"/>
              </c:ext>
            </c:extLst>
          </c:dPt>
          <c:dLbls>
            <c:dLbl>
              <c:idx val="0"/>
              <c:delete val="1"/>
              <c:extLst>
                <c:ext xmlns:c15="http://schemas.microsoft.com/office/drawing/2012/chart" uri="{CE6537A1-D6FC-4f65-9D91-7224C49458BB}"/>
                <c:ext xmlns:c16="http://schemas.microsoft.com/office/drawing/2014/chart" uri="{C3380CC4-5D6E-409C-BE32-E72D297353CC}">
                  <c16:uniqueId val="{00000001-49A9-4C48-92E1-BFCC8B444ADC}"/>
                </c:ext>
              </c:extLst>
            </c:dLbl>
            <c:dLbl>
              <c:idx val="1"/>
              <c:tx>
                <c:rich>
                  <a:bodyPr/>
                  <a:lstStyle/>
                  <a:p>
                    <a:r>
                      <a:rPr lang="en-US">
                        <a:solidFill>
                          <a:schemeClr val="tx1"/>
                        </a:solidFill>
                      </a:rPr>
                      <a:t>Veranderlike</a:t>
                    </a:r>
                    <a:r>
                      <a:rPr lang="en-US" baseline="0">
                        <a:solidFill>
                          <a:schemeClr val="tx1"/>
                        </a:solidFill>
                      </a:rPr>
                      <a:t> koste</a:t>
                    </a:r>
                    <a:endParaRPr lang="en-US">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49A9-4C48-92E1-BFCC8B444ADC}"/>
                </c:ext>
              </c:extLst>
            </c:dLbl>
            <c:dLbl>
              <c:idx val="2"/>
              <c:tx>
                <c:rich>
                  <a:bodyPr/>
                  <a:lstStyle/>
                  <a:p>
                    <a:r>
                      <a:rPr lang="en-US">
                        <a:solidFill>
                          <a:schemeClr val="tx1"/>
                        </a:solidFill>
                      </a:rPr>
                      <a:t>Vaste</a:t>
                    </a:r>
                    <a:r>
                      <a:rPr lang="en-US" baseline="0">
                        <a:solidFill>
                          <a:schemeClr val="tx1"/>
                        </a:solidFill>
                      </a:rPr>
                      <a:t> koste</a:t>
                    </a:r>
                    <a:endParaRPr lang="en-US">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49A9-4C48-92E1-BFCC8B444ADC}"/>
                </c:ext>
              </c:extLst>
            </c:dLbl>
            <c:dLbl>
              <c:idx val="3"/>
              <c:tx>
                <c:rich>
                  <a:bodyPr/>
                  <a:lstStyle/>
                  <a:p>
                    <a:r>
                      <a:rPr lang="en-US">
                        <a:solidFill>
                          <a:schemeClr val="tx1"/>
                        </a:solidFill>
                      </a:rPr>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49A9-4C48-92E1-BFCC8B444ADC}"/>
                </c:ext>
              </c:extLst>
            </c:dLbl>
            <c:dLbl>
              <c:idx val="4"/>
              <c:delete val="1"/>
              <c:extLst>
                <c:ext xmlns:c15="http://schemas.microsoft.com/office/drawing/2012/chart" uri="{CE6537A1-D6FC-4f65-9D91-7224C49458BB}"/>
                <c:ext xmlns:c16="http://schemas.microsoft.com/office/drawing/2014/chart" uri="{C3380CC4-5D6E-409C-BE32-E72D297353CC}">
                  <c16:uniqueId val="{00000009-49A9-4C48-92E1-BFCC8B444AD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40.649429158405212</c:v>
                </c:pt>
                <c:pt idx="2">
                  <c:v>13.486346369269162</c:v>
                </c:pt>
                <c:pt idx="3">
                  <c:v>45.864224472325631</c:v>
                </c:pt>
                <c:pt idx="4" formatCode="General">
                  <c:v>100</c:v>
                </c:pt>
              </c:numCache>
            </c:numRef>
          </c:val>
          <c:extLst>
            <c:ext xmlns:c16="http://schemas.microsoft.com/office/drawing/2014/chart" uri="{C3380CC4-5D6E-409C-BE32-E72D297353CC}">
              <c16:uniqueId val="{0000000A-49A9-4C48-92E1-BFCC8B444ADC}"/>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49A9-4C48-92E1-BFCC8B444ADC}"/>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49A9-4C48-92E1-BFCC8B444ADC}"/>
              </c:ext>
            </c:extLst>
          </c:dPt>
          <c:dPt>
            <c:idx val="2"/>
            <c:bubble3D val="0"/>
            <c:spPr>
              <a:noFill/>
              <a:ln>
                <a:noFill/>
              </a:ln>
              <a:effectLst/>
            </c:spPr>
            <c:extLst>
              <c:ext xmlns:c16="http://schemas.microsoft.com/office/drawing/2014/chart" uri="{C3380CC4-5D6E-409C-BE32-E72D297353CC}">
                <c16:uniqueId val="{00000010-49A9-4C48-92E1-BFCC8B444ADC}"/>
              </c:ext>
            </c:extLst>
          </c:dPt>
          <c:val>
            <c:numRef>
              <c:f>Grafieke!$F$2:$F$4</c:f>
              <c:numCache>
                <c:formatCode>General</c:formatCode>
                <c:ptCount val="3"/>
                <c:pt idx="0" formatCode="0">
                  <c:v>45.864224472325631</c:v>
                </c:pt>
                <c:pt idx="1">
                  <c:v>1</c:v>
                </c:pt>
                <c:pt idx="2" formatCode="0">
                  <c:v>153.13577552767435</c:v>
                </c:pt>
              </c:numCache>
            </c:numRef>
          </c:val>
          <c:extLst>
            <c:ext xmlns:c16="http://schemas.microsoft.com/office/drawing/2014/chart" uri="{C3380CC4-5D6E-409C-BE32-E72D297353CC}">
              <c16:uniqueId val="{00000011-49A9-4C48-92E1-BFCC8B444ADC}"/>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Sojaboonwinsgewendheid</a:t>
            </a:r>
          </a:p>
        </c:rich>
      </c:tx>
      <c:overlay val="0"/>
    </c:title>
    <c:autoTitleDeleted val="0"/>
    <c:plotArea>
      <c:layout>
        <c:manualLayout>
          <c:layoutTarget val="inner"/>
          <c:xMode val="edge"/>
          <c:yMode val="edge"/>
          <c:x val="0.36214861111111107"/>
          <c:y val="0.28190701218591352"/>
          <c:w val="0.30112586805555558"/>
          <c:h val="0.71809298781408648"/>
        </c:manualLayout>
      </c:layout>
      <c:doughnutChart>
        <c:varyColors val="1"/>
        <c:ser>
          <c:idx val="0"/>
          <c:order val="0"/>
          <c:tx>
            <c:strRef>
              <c:f>Grafieke!$A$15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A86F-4659-8BBB-668C5BCBA7D7}"/>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A86F-4659-8BBB-668C5BCBA7D7}"/>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A86F-4659-8BBB-668C5BCBA7D7}"/>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A86F-4659-8BBB-668C5BCBA7D7}"/>
              </c:ext>
            </c:extLst>
          </c:dPt>
          <c:dPt>
            <c:idx val="4"/>
            <c:bubble3D val="0"/>
            <c:spPr>
              <a:noFill/>
              <a:ln>
                <a:noFill/>
              </a:ln>
              <a:effectLst/>
            </c:spPr>
            <c:extLst>
              <c:ext xmlns:c16="http://schemas.microsoft.com/office/drawing/2014/chart" uri="{C3380CC4-5D6E-409C-BE32-E72D297353CC}">
                <c16:uniqueId val="{00000009-A86F-4659-8BBB-668C5BCBA7D7}"/>
              </c:ext>
            </c:extLst>
          </c:dPt>
          <c:dLbls>
            <c:dLbl>
              <c:idx val="0"/>
              <c:delete val="1"/>
              <c:extLst>
                <c:ext xmlns:c15="http://schemas.microsoft.com/office/drawing/2012/chart" uri="{CE6537A1-D6FC-4f65-9D91-7224C49458BB}"/>
                <c:ext xmlns:c16="http://schemas.microsoft.com/office/drawing/2014/chart" uri="{C3380CC4-5D6E-409C-BE32-E72D297353CC}">
                  <c16:uniqueId val="{00000001-A86F-4659-8BBB-668C5BCBA7D7}"/>
                </c:ext>
              </c:extLst>
            </c:dLbl>
            <c:dLbl>
              <c:idx val="1"/>
              <c:tx>
                <c:rich>
                  <a:bodyPr/>
                  <a:lstStyle/>
                  <a:p>
                    <a:r>
                      <a:rPr lang="en-US">
                        <a:solidFill>
                          <a:schemeClr val="tx1"/>
                        </a:solidFill>
                      </a:rPr>
                      <a:t>Veranderlike</a:t>
                    </a:r>
                    <a:r>
                      <a:rPr lang="en-US" baseline="0">
                        <a:solidFill>
                          <a:schemeClr val="tx1"/>
                        </a:solidFill>
                      </a:rPr>
                      <a:t> koste</a:t>
                    </a:r>
                    <a:endParaRPr lang="en-US">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A86F-4659-8BBB-668C5BCBA7D7}"/>
                </c:ext>
              </c:extLst>
            </c:dLbl>
            <c:dLbl>
              <c:idx val="2"/>
              <c:tx>
                <c:rich>
                  <a:bodyPr/>
                  <a:lstStyle/>
                  <a:p>
                    <a:r>
                      <a:rPr lang="en-US">
                        <a:solidFill>
                          <a:schemeClr val="tx1"/>
                        </a:solidFill>
                      </a:rPr>
                      <a:t>Vaste</a:t>
                    </a:r>
                    <a:r>
                      <a:rPr lang="en-US" baseline="0">
                        <a:solidFill>
                          <a:schemeClr val="tx1"/>
                        </a:solidFill>
                      </a:rPr>
                      <a:t> koste</a:t>
                    </a:r>
                    <a:endParaRPr lang="en-US">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A86F-4659-8BBB-668C5BCBA7D7}"/>
                </c:ext>
              </c:extLst>
            </c:dLbl>
            <c:dLbl>
              <c:idx val="3"/>
              <c:layout>
                <c:manualLayout>
                  <c:x val="2.0690276498664339E-3"/>
                  <c:y val="0"/>
                </c:manualLayout>
              </c:layout>
              <c:tx>
                <c:rich>
                  <a:bodyPr/>
                  <a:lstStyle/>
                  <a:p>
                    <a:r>
                      <a:rPr lang="en-US">
                        <a:solidFill>
                          <a:schemeClr val="tx1"/>
                        </a:solidFill>
                      </a:rPr>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A86F-4659-8BBB-668C5BCBA7D7}"/>
                </c:ext>
              </c:extLst>
            </c:dLbl>
            <c:dLbl>
              <c:idx val="4"/>
              <c:delete val="1"/>
              <c:extLst>
                <c:ext xmlns:c15="http://schemas.microsoft.com/office/drawing/2012/chart" uri="{CE6537A1-D6FC-4f65-9D91-7224C49458BB}"/>
                <c:ext xmlns:c16="http://schemas.microsoft.com/office/drawing/2014/chart" uri="{C3380CC4-5D6E-409C-BE32-E72D297353CC}">
                  <c16:uniqueId val="{00000009-A86F-4659-8BBB-668C5BCBA7D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Grafieke!$C$16:$C$20</c:f>
              <c:numCache>
                <c:formatCode>0</c:formatCode>
                <c:ptCount val="5"/>
                <c:pt idx="0" formatCode="General">
                  <c:v>0</c:v>
                </c:pt>
                <c:pt idx="1">
                  <c:v>39.445289717271898</c:v>
                </c:pt>
                <c:pt idx="2">
                  <c:v>11.34939081335213</c:v>
                </c:pt>
                <c:pt idx="3">
                  <c:v>49.205319469375972</c:v>
                </c:pt>
                <c:pt idx="4" formatCode="General">
                  <c:v>100</c:v>
                </c:pt>
              </c:numCache>
            </c:numRef>
          </c:val>
          <c:extLst>
            <c:ext xmlns:c16="http://schemas.microsoft.com/office/drawing/2014/chart" uri="{C3380CC4-5D6E-409C-BE32-E72D297353CC}">
              <c16:uniqueId val="{0000000A-A86F-4659-8BBB-668C5BCBA7D7}"/>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Grafieke!$D$15</c:f>
              <c:strCache>
                <c:ptCount val="1"/>
                <c:pt idx="0">
                  <c:v>Pointer</c:v>
                </c:pt>
              </c:strCache>
            </c:strRef>
          </c:tx>
          <c:dPt>
            <c:idx val="0"/>
            <c:bubble3D val="0"/>
            <c:spPr>
              <a:noFill/>
              <a:ln>
                <a:noFill/>
              </a:ln>
              <a:effectLst/>
            </c:spPr>
            <c:extLst>
              <c:ext xmlns:c16="http://schemas.microsoft.com/office/drawing/2014/chart" uri="{C3380CC4-5D6E-409C-BE32-E72D297353CC}">
                <c16:uniqueId val="{0000000C-A86F-4659-8BBB-668C5BCBA7D7}"/>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A86F-4659-8BBB-668C5BCBA7D7}"/>
              </c:ext>
            </c:extLst>
          </c:dPt>
          <c:dPt>
            <c:idx val="2"/>
            <c:bubble3D val="0"/>
            <c:spPr>
              <a:noFill/>
              <a:ln>
                <a:noFill/>
              </a:ln>
              <a:effectLst/>
            </c:spPr>
            <c:extLst>
              <c:ext xmlns:c16="http://schemas.microsoft.com/office/drawing/2014/chart" uri="{C3380CC4-5D6E-409C-BE32-E72D297353CC}">
                <c16:uniqueId val="{00000010-A86F-4659-8BBB-668C5BCBA7D7}"/>
              </c:ext>
            </c:extLst>
          </c:dPt>
          <c:val>
            <c:numRef>
              <c:f>Grafieke!$F$16:$F$18</c:f>
              <c:numCache>
                <c:formatCode>General</c:formatCode>
                <c:ptCount val="3"/>
                <c:pt idx="0" formatCode="0">
                  <c:v>49.205319469375972</c:v>
                </c:pt>
                <c:pt idx="1">
                  <c:v>1</c:v>
                </c:pt>
                <c:pt idx="2" formatCode="0">
                  <c:v>149.79468053062402</c:v>
                </c:pt>
              </c:numCache>
            </c:numRef>
          </c:val>
          <c:extLst>
            <c:ext xmlns:c16="http://schemas.microsoft.com/office/drawing/2014/chart" uri="{C3380CC4-5D6E-409C-BE32-E72D297353CC}">
              <c16:uniqueId val="{00000011-A86F-4659-8BBB-668C5BCBA7D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Sorghum</a:t>
            </a:r>
            <a:r>
              <a:rPr lang="en-GB" baseline="0"/>
              <a:t> profitability</a:t>
            </a:r>
            <a:endParaRPr lang="en-GB"/>
          </a:p>
        </c:rich>
      </c:tx>
      <c:overlay val="0"/>
    </c:title>
    <c:autoTitleDeleted val="0"/>
    <c:plotArea>
      <c:layout>
        <c:manualLayout>
          <c:layoutTarget val="inner"/>
          <c:xMode val="edge"/>
          <c:yMode val="edge"/>
          <c:x val="0.32739583333333333"/>
          <c:y val="0.2619317769563384"/>
          <c:w val="0.32536458333333329"/>
          <c:h val="0.7350204433811488"/>
        </c:manualLayout>
      </c:layout>
      <c:doughnutChart>
        <c:varyColors val="1"/>
        <c:ser>
          <c:idx val="0"/>
          <c:order val="0"/>
          <c:tx>
            <c:strRef>
              <c:f>Grafieke!$A$30</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DEC0-4598-87B3-ECD2659D77E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DEC0-4598-87B3-ECD2659D77E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DEC0-4598-87B3-ECD2659D77E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DEC0-4598-87B3-ECD2659D77E1}"/>
              </c:ext>
            </c:extLst>
          </c:dPt>
          <c:dPt>
            <c:idx val="4"/>
            <c:bubble3D val="0"/>
            <c:spPr>
              <a:noFill/>
              <a:ln>
                <a:noFill/>
              </a:ln>
              <a:effectLst/>
            </c:spPr>
            <c:extLst>
              <c:ext xmlns:c16="http://schemas.microsoft.com/office/drawing/2014/chart" uri="{C3380CC4-5D6E-409C-BE32-E72D297353CC}">
                <c16:uniqueId val="{00000009-DEC0-4598-87B3-ECD2659D77E1}"/>
              </c:ext>
            </c:extLst>
          </c:dPt>
          <c:dLbls>
            <c:dLbl>
              <c:idx val="0"/>
              <c:delete val="1"/>
              <c:extLst>
                <c:ext xmlns:c15="http://schemas.microsoft.com/office/drawing/2012/chart" uri="{CE6537A1-D6FC-4f65-9D91-7224C49458BB}"/>
                <c:ext xmlns:c16="http://schemas.microsoft.com/office/drawing/2014/chart" uri="{C3380CC4-5D6E-409C-BE32-E72D297353CC}">
                  <c16:uniqueId val="{00000001-DEC0-4598-87B3-ECD2659D77E1}"/>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DEC0-4598-87B3-ECD2659D77E1}"/>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DEC0-4598-87B3-ECD2659D77E1}"/>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DEC0-4598-87B3-ECD2659D77E1}"/>
                </c:ext>
              </c:extLst>
            </c:dLbl>
            <c:dLbl>
              <c:idx val="4"/>
              <c:delete val="1"/>
              <c:extLst>
                <c:ext xmlns:c15="http://schemas.microsoft.com/office/drawing/2012/chart" uri="{CE6537A1-D6FC-4f65-9D91-7224C49458BB}"/>
                <c:ext xmlns:c16="http://schemas.microsoft.com/office/drawing/2014/chart" uri="{C3380CC4-5D6E-409C-BE32-E72D297353CC}">
                  <c16:uniqueId val="{00000009-DEC0-4598-87B3-ECD2659D77E1}"/>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Grafieke!$C$31:$C$35</c:f>
              <c:numCache>
                <c:formatCode>0</c:formatCode>
                <c:ptCount val="5"/>
                <c:pt idx="0" formatCode="General">
                  <c:v>0</c:v>
                </c:pt>
                <c:pt idx="1">
                  <c:v>35.23986129060426</c:v>
                </c:pt>
                <c:pt idx="2">
                  <c:v>20.062864051905446</c:v>
                </c:pt>
                <c:pt idx="3">
                  <c:v>44.697274657490304</c:v>
                </c:pt>
                <c:pt idx="4" formatCode="General">
                  <c:v>100</c:v>
                </c:pt>
              </c:numCache>
            </c:numRef>
          </c:val>
          <c:extLst>
            <c:ext xmlns:c16="http://schemas.microsoft.com/office/drawing/2014/chart" uri="{C3380CC4-5D6E-409C-BE32-E72D297353CC}">
              <c16:uniqueId val="{0000000A-DEC0-4598-87B3-ECD2659D77E1}"/>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Grafieke!$D$30</c:f>
              <c:strCache>
                <c:ptCount val="1"/>
                <c:pt idx="0">
                  <c:v>Pointer</c:v>
                </c:pt>
              </c:strCache>
            </c:strRef>
          </c:tx>
          <c:dPt>
            <c:idx val="0"/>
            <c:bubble3D val="0"/>
            <c:spPr>
              <a:noFill/>
              <a:ln>
                <a:noFill/>
              </a:ln>
              <a:effectLst/>
            </c:spPr>
            <c:extLst>
              <c:ext xmlns:c16="http://schemas.microsoft.com/office/drawing/2014/chart" uri="{C3380CC4-5D6E-409C-BE32-E72D297353CC}">
                <c16:uniqueId val="{0000000C-DEC0-4598-87B3-ECD2659D77E1}"/>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DEC0-4598-87B3-ECD2659D77E1}"/>
              </c:ext>
            </c:extLst>
          </c:dPt>
          <c:dPt>
            <c:idx val="2"/>
            <c:bubble3D val="0"/>
            <c:spPr>
              <a:noFill/>
              <a:ln>
                <a:noFill/>
              </a:ln>
              <a:effectLst/>
            </c:spPr>
            <c:extLst>
              <c:ext xmlns:c16="http://schemas.microsoft.com/office/drawing/2014/chart" uri="{C3380CC4-5D6E-409C-BE32-E72D297353CC}">
                <c16:uniqueId val="{00000010-DEC0-4598-87B3-ECD2659D77E1}"/>
              </c:ext>
            </c:extLst>
          </c:dPt>
          <c:val>
            <c:numRef>
              <c:f>Grafieke!$F$31:$F$33</c:f>
              <c:numCache>
                <c:formatCode>General</c:formatCode>
                <c:ptCount val="3"/>
                <c:pt idx="0" formatCode="0">
                  <c:v>44.697274657490304</c:v>
                </c:pt>
                <c:pt idx="1">
                  <c:v>1</c:v>
                </c:pt>
                <c:pt idx="2" formatCode="0">
                  <c:v>154.30272534250969</c:v>
                </c:pt>
              </c:numCache>
            </c:numRef>
          </c:val>
          <c:extLst>
            <c:ext xmlns:c16="http://schemas.microsoft.com/office/drawing/2014/chart" uri="{C3380CC4-5D6E-409C-BE32-E72D297353CC}">
              <c16:uniqueId val="{00000011-DEC0-4598-87B3-ECD2659D77E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Sorghumwinsgewendheid</a:t>
            </a:r>
          </a:p>
        </c:rich>
      </c:tx>
      <c:overlay val="0"/>
    </c:title>
    <c:autoTitleDeleted val="0"/>
    <c:plotArea>
      <c:layout>
        <c:manualLayout>
          <c:layoutTarget val="inner"/>
          <c:xMode val="edge"/>
          <c:yMode val="edge"/>
          <c:x val="0.38985659722222221"/>
          <c:y val="0.20365699669828136"/>
          <c:w val="0.29745694444444443"/>
          <c:h val="0.79218684185826516"/>
        </c:manualLayout>
      </c:layout>
      <c:doughnutChart>
        <c:varyColors val="1"/>
        <c:ser>
          <c:idx val="0"/>
          <c:order val="0"/>
          <c:tx>
            <c:strRef>
              <c:f>Grafieke!$A$30</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0B0A-42E5-A976-52B09CF971C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0B0A-42E5-A976-52B09CF971C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0B0A-42E5-A976-52B09CF971C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0B0A-42E5-A976-52B09CF971CC}"/>
              </c:ext>
            </c:extLst>
          </c:dPt>
          <c:dPt>
            <c:idx val="4"/>
            <c:bubble3D val="0"/>
            <c:spPr>
              <a:noFill/>
              <a:ln>
                <a:noFill/>
              </a:ln>
              <a:effectLst/>
            </c:spPr>
            <c:extLst>
              <c:ext xmlns:c16="http://schemas.microsoft.com/office/drawing/2014/chart" uri="{C3380CC4-5D6E-409C-BE32-E72D297353CC}">
                <c16:uniqueId val="{00000009-0B0A-42E5-A976-52B09CF971CC}"/>
              </c:ext>
            </c:extLst>
          </c:dPt>
          <c:dLbls>
            <c:dLbl>
              <c:idx val="0"/>
              <c:delete val="1"/>
              <c:extLst>
                <c:ext xmlns:c15="http://schemas.microsoft.com/office/drawing/2012/chart" uri="{CE6537A1-D6FC-4f65-9D91-7224C49458BB}"/>
                <c:ext xmlns:c16="http://schemas.microsoft.com/office/drawing/2014/chart" uri="{C3380CC4-5D6E-409C-BE32-E72D297353CC}">
                  <c16:uniqueId val="{00000001-0B0A-42E5-A976-52B09CF971CC}"/>
                </c:ext>
              </c:extLst>
            </c:dLbl>
            <c:dLbl>
              <c:idx val="1"/>
              <c:tx>
                <c:rich>
                  <a:bodyPr/>
                  <a:lstStyle/>
                  <a:p>
                    <a:r>
                      <a:rPr lang="en-US"/>
                      <a:t>Veranderlike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0B0A-42E5-A976-52B09CF971CC}"/>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0B0A-42E5-A976-52B09CF971CC}"/>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0B0A-42E5-A976-52B09CF971CC}"/>
                </c:ext>
              </c:extLst>
            </c:dLbl>
            <c:dLbl>
              <c:idx val="4"/>
              <c:delete val="1"/>
              <c:extLst>
                <c:ext xmlns:c15="http://schemas.microsoft.com/office/drawing/2012/chart" uri="{CE6537A1-D6FC-4f65-9D91-7224C49458BB}"/>
                <c:ext xmlns:c16="http://schemas.microsoft.com/office/drawing/2014/chart" uri="{C3380CC4-5D6E-409C-BE32-E72D297353CC}">
                  <c16:uniqueId val="{00000009-0B0A-42E5-A976-52B09CF971C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Grafieke!$C$31:$C$35</c:f>
              <c:numCache>
                <c:formatCode>0</c:formatCode>
                <c:ptCount val="5"/>
                <c:pt idx="0" formatCode="General">
                  <c:v>0</c:v>
                </c:pt>
                <c:pt idx="1">
                  <c:v>35.23986129060426</c:v>
                </c:pt>
                <c:pt idx="2">
                  <c:v>20.062864051905446</c:v>
                </c:pt>
                <c:pt idx="3">
                  <c:v>44.697274657490304</c:v>
                </c:pt>
                <c:pt idx="4" formatCode="General">
                  <c:v>100</c:v>
                </c:pt>
              </c:numCache>
            </c:numRef>
          </c:val>
          <c:extLst>
            <c:ext xmlns:c16="http://schemas.microsoft.com/office/drawing/2014/chart" uri="{C3380CC4-5D6E-409C-BE32-E72D297353CC}">
              <c16:uniqueId val="{0000000A-0B0A-42E5-A976-52B09CF971CC}"/>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Grafieke!$D$30</c:f>
              <c:strCache>
                <c:ptCount val="1"/>
                <c:pt idx="0">
                  <c:v>Pointer</c:v>
                </c:pt>
              </c:strCache>
            </c:strRef>
          </c:tx>
          <c:dPt>
            <c:idx val="0"/>
            <c:bubble3D val="0"/>
            <c:spPr>
              <a:noFill/>
              <a:ln>
                <a:noFill/>
              </a:ln>
              <a:effectLst/>
            </c:spPr>
            <c:extLst>
              <c:ext xmlns:c16="http://schemas.microsoft.com/office/drawing/2014/chart" uri="{C3380CC4-5D6E-409C-BE32-E72D297353CC}">
                <c16:uniqueId val="{0000000C-0B0A-42E5-A976-52B09CF971CC}"/>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0B0A-42E5-A976-52B09CF971CC}"/>
              </c:ext>
            </c:extLst>
          </c:dPt>
          <c:dPt>
            <c:idx val="2"/>
            <c:bubble3D val="0"/>
            <c:explosion val="17"/>
            <c:spPr>
              <a:noFill/>
              <a:ln>
                <a:noFill/>
              </a:ln>
              <a:effectLst/>
            </c:spPr>
            <c:extLst>
              <c:ext xmlns:c16="http://schemas.microsoft.com/office/drawing/2014/chart" uri="{C3380CC4-5D6E-409C-BE32-E72D297353CC}">
                <c16:uniqueId val="{00000010-0B0A-42E5-A976-52B09CF971CC}"/>
              </c:ext>
            </c:extLst>
          </c:dPt>
          <c:val>
            <c:numRef>
              <c:f>Grafieke!$F$31:$F$33</c:f>
              <c:numCache>
                <c:formatCode>General</c:formatCode>
                <c:ptCount val="3"/>
                <c:pt idx="0" formatCode="0">
                  <c:v>44.697274657490304</c:v>
                </c:pt>
                <c:pt idx="1">
                  <c:v>1</c:v>
                </c:pt>
                <c:pt idx="2" formatCode="0">
                  <c:v>154.30272534250969</c:v>
                </c:pt>
              </c:numCache>
            </c:numRef>
          </c:val>
          <c:extLst>
            <c:ext xmlns:c16="http://schemas.microsoft.com/office/drawing/2014/chart" uri="{C3380CC4-5D6E-409C-BE32-E72D297353CC}">
              <c16:uniqueId val="{00000011-0B0A-42E5-A976-52B09CF971CC}"/>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jpe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4</xdr:col>
      <xdr:colOff>281131</xdr:colOff>
      <xdr:row>0</xdr:row>
      <xdr:rowOff>251011</xdr:rowOff>
    </xdr:from>
    <xdr:to>
      <xdr:col>6</xdr:col>
      <xdr:colOff>165745</xdr:colOff>
      <xdr:row>6</xdr:row>
      <xdr:rowOff>154640</xdr:rowOff>
    </xdr:to>
    <xdr:pic>
      <xdr:nvPicPr>
        <xdr:cNvPr id="2" name="Picture 1" descr="GrainSA - YouTube">
          <a:extLst>
            <a:ext uri="{FF2B5EF4-FFF2-40B4-BE49-F238E27FC236}">
              <a16:creationId xmlns:a16="http://schemas.microsoft.com/office/drawing/2014/main" id="{A2464A84-4C7D-8209-DB12-667AEC22F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4990" y="251011"/>
          <a:ext cx="1354826" cy="1346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281940</xdr:colOff>
      <xdr:row>85</xdr:row>
      <xdr:rowOff>99060</xdr:rowOff>
    </xdr:from>
    <xdr:to>
      <xdr:col>8</xdr:col>
      <xdr:colOff>662940</xdr:colOff>
      <xdr:row>88</xdr:row>
      <xdr:rowOff>120832</xdr:rowOff>
    </xdr:to>
    <xdr:pic>
      <xdr:nvPicPr>
        <xdr:cNvPr id="133479" name="Picture 5" descr="Graan SA - nuwe logo.jpg">
          <a:extLst>
            <a:ext uri="{FF2B5EF4-FFF2-40B4-BE49-F238E27FC236}">
              <a16:creationId xmlns:a16="http://schemas.microsoft.com/office/drawing/2014/main" id="{616CA1A6-81AC-DF15-ED27-F75536A5B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9440" y="14912340"/>
          <a:ext cx="37338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133481" name="Picture 6" descr="http://www.maizetrust.co.za/images/masthead.jpg">
          <a:extLst>
            <a:ext uri="{FF2B5EF4-FFF2-40B4-BE49-F238E27FC236}">
              <a16:creationId xmlns:a16="http://schemas.microsoft.com/office/drawing/2014/main" id="{4037201A-F076-4CE4-2140-1FD5F2905B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7800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133482" name="Picture 7" descr="http://www.maizetrust.co.za/images/masthead.jpg">
          <a:extLst>
            <a:ext uri="{FF2B5EF4-FFF2-40B4-BE49-F238E27FC236}">
              <a16:creationId xmlns:a16="http://schemas.microsoft.com/office/drawing/2014/main" id="{37E894DF-2A0F-12E6-A2FD-F68A833DB3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7800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979752</xdr:colOff>
      <xdr:row>0</xdr:row>
      <xdr:rowOff>0</xdr:rowOff>
    </xdr:from>
    <xdr:to>
      <xdr:col>8</xdr:col>
      <xdr:colOff>1086941</xdr:colOff>
      <xdr:row>2</xdr:row>
      <xdr:rowOff>293097</xdr:rowOff>
    </xdr:to>
    <xdr:pic>
      <xdr:nvPicPr>
        <xdr:cNvPr id="2" name="Picture 1" descr="GrainSA - YouTube">
          <a:extLst>
            <a:ext uri="{FF2B5EF4-FFF2-40B4-BE49-F238E27FC236}">
              <a16:creationId xmlns:a16="http://schemas.microsoft.com/office/drawing/2014/main" id="{594AD7C1-DF92-47D6-A829-326C9172BC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62419" y="0"/>
          <a:ext cx="1131020" cy="91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205740</xdr:colOff>
      <xdr:row>0</xdr:row>
      <xdr:rowOff>60960</xdr:rowOff>
    </xdr:from>
    <xdr:to>
      <xdr:col>8</xdr:col>
      <xdr:colOff>601980</xdr:colOff>
      <xdr:row>1</xdr:row>
      <xdr:rowOff>152400</xdr:rowOff>
    </xdr:to>
    <xdr:pic>
      <xdr:nvPicPr>
        <xdr:cNvPr id="248978" name="Picture 4" descr="Graan SA - nuwe logo.jpg">
          <a:extLst>
            <a:ext uri="{FF2B5EF4-FFF2-40B4-BE49-F238E27FC236}">
              <a16:creationId xmlns:a16="http://schemas.microsoft.com/office/drawing/2014/main" id="{2C143171-B25E-5DE0-1D1D-D271744F78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6540" y="60960"/>
          <a:ext cx="39624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39</xdr:row>
      <xdr:rowOff>15240</xdr:rowOff>
    </xdr:from>
    <xdr:to>
      <xdr:col>0</xdr:col>
      <xdr:colOff>815340</xdr:colOff>
      <xdr:row>42</xdr:row>
      <xdr:rowOff>129540</xdr:rowOff>
    </xdr:to>
    <xdr:pic>
      <xdr:nvPicPr>
        <xdr:cNvPr id="248979" name="Picture 6" descr="http://www.maizetrust.co.za/images/masthead.jpg">
          <a:extLst>
            <a:ext uri="{FF2B5EF4-FFF2-40B4-BE49-F238E27FC236}">
              <a16:creationId xmlns:a16="http://schemas.microsoft.com/office/drawing/2014/main" id="{210BD466-BC48-524E-88CC-1621EA5838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8181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39</xdr:row>
      <xdr:rowOff>15240</xdr:rowOff>
    </xdr:from>
    <xdr:to>
      <xdr:col>0</xdr:col>
      <xdr:colOff>815340</xdr:colOff>
      <xdr:row>42</xdr:row>
      <xdr:rowOff>129540</xdr:rowOff>
    </xdr:to>
    <xdr:pic>
      <xdr:nvPicPr>
        <xdr:cNvPr id="248980" name="Picture 7" descr="http://www.maizetrust.co.za/images/masthead.jpg">
          <a:extLst>
            <a:ext uri="{FF2B5EF4-FFF2-40B4-BE49-F238E27FC236}">
              <a16:creationId xmlns:a16="http://schemas.microsoft.com/office/drawing/2014/main" id="{57389C68-FC6C-956D-3E6A-5657AEEB3C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8181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281940</xdr:colOff>
      <xdr:row>85</xdr:row>
      <xdr:rowOff>99060</xdr:rowOff>
    </xdr:from>
    <xdr:to>
      <xdr:col>8</xdr:col>
      <xdr:colOff>662940</xdr:colOff>
      <xdr:row>88</xdr:row>
      <xdr:rowOff>141392</xdr:rowOff>
    </xdr:to>
    <xdr:pic>
      <xdr:nvPicPr>
        <xdr:cNvPr id="253013" name="Picture 5" descr="Graan SA - nuwe logo.jpg">
          <a:extLst>
            <a:ext uri="{FF2B5EF4-FFF2-40B4-BE49-F238E27FC236}">
              <a16:creationId xmlns:a16="http://schemas.microsoft.com/office/drawing/2014/main" id="{8C3941C4-91BD-3C92-7637-C9273B37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59440" y="14912340"/>
          <a:ext cx="37338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253015" name="Picture 6" descr="http://www.maizetrust.co.za/images/masthead.jpg">
          <a:extLst>
            <a:ext uri="{FF2B5EF4-FFF2-40B4-BE49-F238E27FC236}">
              <a16:creationId xmlns:a16="http://schemas.microsoft.com/office/drawing/2014/main" id="{A93770AC-D636-18FF-C31D-1D0A5BF706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7800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253016" name="Picture 7" descr="http://www.maizetrust.co.za/images/masthead.jpg">
          <a:extLst>
            <a:ext uri="{FF2B5EF4-FFF2-40B4-BE49-F238E27FC236}">
              <a16:creationId xmlns:a16="http://schemas.microsoft.com/office/drawing/2014/main" id="{83EB7046-BB41-B807-5A98-9DEA2647A4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778002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11188</xdr:colOff>
      <xdr:row>0</xdr:row>
      <xdr:rowOff>0</xdr:rowOff>
    </xdr:from>
    <xdr:to>
      <xdr:col>10</xdr:col>
      <xdr:colOff>144670</xdr:colOff>
      <xdr:row>2</xdr:row>
      <xdr:rowOff>334902</xdr:rowOff>
    </xdr:to>
    <xdr:pic>
      <xdr:nvPicPr>
        <xdr:cNvPr id="2" name="Picture 1" descr="GrainSA - YouTube">
          <a:extLst>
            <a:ext uri="{FF2B5EF4-FFF2-40B4-BE49-F238E27FC236}">
              <a16:creationId xmlns:a16="http://schemas.microsoft.com/office/drawing/2014/main" id="{69C584DB-FAA0-4E5A-893A-16DE40B9A27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610521" y="0"/>
          <a:ext cx="1124082" cy="910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43</xdr:row>
      <xdr:rowOff>15240</xdr:rowOff>
    </xdr:from>
    <xdr:to>
      <xdr:col>0</xdr:col>
      <xdr:colOff>815340</xdr:colOff>
      <xdr:row>46</xdr:row>
      <xdr:rowOff>129540</xdr:rowOff>
    </xdr:to>
    <xdr:pic>
      <xdr:nvPicPr>
        <xdr:cNvPr id="249970" name="Picture 6" descr="http://www.maizetrust.co.za/images/masthead.jpg">
          <a:extLst>
            <a:ext uri="{FF2B5EF4-FFF2-40B4-BE49-F238E27FC236}">
              <a16:creationId xmlns:a16="http://schemas.microsoft.com/office/drawing/2014/main" id="{879BBE00-5B5C-8E0E-7B69-70F915D37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60476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249971" name="Picture 7" descr="http://www.maizetrust.co.za/images/masthead.jpg">
          <a:extLst>
            <a:ext uri="{FF2B5EF4-FFF2-40B4-BE49-F238E27FC236}">
              <a16:creationId xmlns:a16="http://schemas.microsoft.com/office/drawing/2014/main" id="{6B70E2F6-0BFA-CAE6-13B8-6873D985D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60476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8</xdr:col>
      <xdr:colOff>136680</xdr:colOff>
      <xdr:row>3</xdr:row>
      <xdr:rowOff>37035</xdr:rowOff>
    </xdr:to>
    <xdr:pic>
      <xdr:nvPicPr>
        <xdr:cNvPr id="2" name="Picture 1" descr="GrainSA - YouTube">
          <a:extLst>
            <a:ext uri="{FF2B5EF4-FFF2-40B4-BE49-F238E27FC236}">
              <a16:creationId xmlns:a16="http://schemas.microsoft.com/office/drawing/2014/main" id="{B486F033-A8D2-45EB-8885-F9CD5991EF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82735" y="0"/>
          <a:ext cx="1131762" cy="9191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2117</xdr:colOff>
      <xdr:row>0</xdr:row>
      <xdr:rowOff>8466</xdr:rowOff>
    </xdr:from>
    <xdr:to>
      <xdr:col>10</xdr:col>
      <xdr:colOff>162118</xdr:colOff>
      <xdr:row>2</xdr:row>
      <xdr:rowOff>339618</xdr:rowOff>
    </xdr:to>
    <xdr:pic>
      <xdr:nvPicPr>
        <xdr:cNvPr id="2" name="Picture 1" descr="GrainSA - YouTube">
          <a:extLst>
            <a:ext uri="{FF2B5EF4-FFF2-40B4-BE49-F238E27FC236}">
              <a16:creationId xmlns:a16="http://schemas.microsoft.com/office/drawing/2014/main" id="{9F15D251-8671-4028-A69B-CF17982DB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0584" y="8466"/>
          <a:ext cx="1150601" cy="906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3" name="Picture 6" descr="http://www.maizetrust.co.za/images/masthead.jpg">
          <a:extLst>
            <a:ext uri="{FF2B5EF4-FFF2-40B4-BE49-F238E27FC236}">
              <a16:creationId xmlns:a16="http://schemas.microsoft.com/office/drawing/2014/main" id="{07ED7200-878F-4622-BE7E-96D4CD0643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5820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4" name="Picture 7" descr="http://www.maizetrust.co.za/images/masthead.jpg">
          <a:extLst>
            <a:ext uri="{FF2B5EF4-FFF2-40B4-BE49-F238E27FC236}">
              <a16:creationId xmlns:a16="http://schemas.microsoft.com/office/drawing/2014/main" id="{BAA897D4-75C1-45CB-BDC7-A39E759829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5820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121920</xdr:colOff>
      <xdr:row>89</xdr:row>
      <xdr:rowOff>91440</xdr:rowOff>
    </xdr:from>
    <xdr:to>
      <xdr:col>9</xdr:col>
      <xdr:colOff>685800</xdr:colOff>
      <xdr:row>95</xdr:row>
      <xdr:rowOff>83820</xdr:rowOff>
    </xdr:to>
    <xdr:pic>
      <xdr:nvPicPr>
        <xdr:cNvPr id="24489" name="Picture 3" descr="Graan SA - nuwe logo.jpg">
          <a:extLst>
            <a:ext uri="{FF2B5EF4-FFF2-40B4-BE49-F238E27FC236}">
              <a16:creationId xmlns:a16="http://schemas.microsoft.com/office/drawing/2014/main" id="{D2E0CFA2-9083-BAE7-C901-6AF0CEFEF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22380" y="16238220"/>
          <a:ext cx="56388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53340</xdr:colOff>
      <xdr:row>0</xdr:row>
      <xdr:rowOff>0</xdr:rowOff>
    </xdr:from>
    <xdr:to>
      <xdr:col>8</xdr:col>
      <xdr:colOff>541020</xdr:colOff>
      <xdr:row>2</xdr:row>
      <xdr:rowOff>121920</xdr:rowOff>
    </xdr:to>
    <xdr:pic>
      <xdr:nvPicPr>
        <xdr:cNvPr id="24490" name="Picture 4" descr="Graan SA - nuwe logo.jpg">
          <a:extLst>
            <a:ext uri="{FF2B5EF4-FFF2-40B4-BE49-F238E27FC236}">
              <a16:creationId xmlns:a16="http://schemas.microsoft.com/office/drawing/2014/main" id="{6F437B8C-FF6A-2D68-2609-DF33E278BC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70820" y="0"/>
          <a:ext cx="48768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936811</xdr:colOff>
      <xdr:row>0</xdr:row>
      <xdr:rowOff>0</xdr:rowOff>
    </xdr:from>
    <xdr:to>
      <xdr:col>13</xdr:col>
      <xdr:colOff>166038</xdr:colOff>
      <xdr:row>2</xdr:row>
      <xdr:rowOff>346990</xdr:rowOff>
    </xdr:to>
    <xdr:pic>
      <xdr:nvPicPr>
        <xdr:cNvPr id="2" name="Picture 1" descr="GrainSA - YouTube">
          <a:extLst>
            <a:ext uri="{FF2B5EF4-FFF2-40B4-BE49-F238E27FC236}">
              <a16:creationId xmlns:a16="http://schemas.microsoft.com/office/drawing/2014/main" id="{14CFFCC2-43DC-4FE8-A14C-F820FB37B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9423" y="0"/>
          <a:ext cx="1165604" cy="920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3" name="Picture 6" descr="http://www.maizetrust.co.za/images/masthead.jpg">
          <a:extLst>
            <a:ext uri="{FF2B5EF4-FFF2-40B4-BE49-F238E27FC236}">
              <a16:creationId xmlns:a16="http://schemas.microsoft.com/office/drawing/2014/main" id="{6D0301A0-B64C-426D-97DA-410BAD4FA8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1248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4" name="Picture 7" descr="http://www.maizetrust.co.za/images/masthead.jpg">
          <a:extLst>
            <a:ext uri="{FF2B5EF4-FFF2-40B4-BE49-F238E27FC236}">
              <a16:creationId xmlns:a16="http://schemas.microsoft.com/office/drawing/2014/main" id="{0A0C17CA-DD8B-48F4-BE89-8A5F4326E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1248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xdr:colOff>
      <xdr:row>0</xdr:row>
      <xdr:rowOff>1</xdr:rowOff>
    </xdr:from>
    <xdr:to>
      <xdr:col>9</xdr:col>
      <xdr:colOff>195944</xdr:colOff>
      <xdr:row>2</xdr:row>
      <xdr:rowOff>314301</xdr:rowOff>
    </xdr:to>
    <xdr:pic>
      <xdr:nvPicPr>
        <xdr:cNvPr id="2" name="Picture 1" descr="GrainSA - YouTube">
          <a:extLst>
            <a:ext uri="{FF2B5EF4-FFF2-40B4-BE49-F238E27FC236}">
              <a16:creationId xmlns:a16="http://schemas.microsoft.com/office/drawing/2014/main" id="{9BC8BA8E-1E3F-43A2-BA3F-B5ED93FF33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79630" y="1"/>
          <a:ext cx="1066800" cy="934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3" name="Picture 6" descr="http://www.maizetrust.co.za/images/masthead.jpg">
          <a:extLst>
            <a:ext uri="{FF2B5EF4-FFF2-40B4-BE49-F238E27FC236}">
              <a16:creationId xmlns:a16="http://schemas.microsoft.com/office/drawing/2014/main" id="{3BFA15BA-E5C3-4220-ACFE-9BE66577F6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1248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4" name="Picture 7" descr="http://www.maizetrust.co.za/images/masthead.jpg">
          <a:extLst>
            <a:ext uri="{FF2B5EF4-FFF2-40B4-BE49-F238E27FC236}">
              <a16:creationId xmlns:a16="http://schemas.microsoft.com/office/drawing/2014/main" id="{54CEBEF3-5CAE-4B67-8949-93664CF00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 y="8412480"/>
          <a:ext cx="8001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38</xdr:row>
      <xdr:rowOff>0</xdr:rowOff>
    </xdr:from>
    <xdr:to>
      <xdr:col>7</xdr:col>
      <xdr:colOff>76200</xdr:colOff>
      <xdr:row>56</xdr:row>
      <xdr:rowOff>76200</xdr:rowOff>
    </xdr:to>
    <xdr:graphicFrame macro="">
      <xdr:nvGraphicFramePr>
        <xdr:cNvPr id="250921" name="Chart 1">
          <a:extLst>
            <a:ext uri="{FF2B5EF4-FFF2-40B4-BE49-F238E27FC236}">
              <a16:creationId xmlns:a16="http://schemas.microsoft.com/office/drawing/2014/main" id="{19A9185A-550E-FABA-823B-EFCECC9C3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17</xdr:col>
      <xdr:colOff>348921</xdr:colOff>
      <xdr:row>5</xdr:row>
      <xdr:rowOff>11906</xdr:rowOff>
    </xdr:from>
    <xdr:to>
      <xdr:col>19</xdr:col>
      <xdr:colOff>359649</xdr:colOff>
      <xdr:row>10</xdr:row>
      <xdr:rowOff>49655</xdr:rowOff>
    </xdr:to>
    <xdr:pic>
      <xdr:nvPicPr>
        <xdr:cNvPr id="2" name="Picture 1" descr="GrainSA - YouTube">
          <a:extLst>
            <a:ext uri="{FF2B5EF4-FFF2-40B4-BE49-F238E27FC236}">
              <a16:creationId xmlns:a16="http://schemas.microsoft.com/office/drawing/2014/main" id="{D5650506-0D25-45A3-8C05-1E073B20FDC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77015" y="1083469"/>
          <a:ext cx="1280410" cy="967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596265</xdr:colOff>
      <xdr:row>0</xdr:row>
      <xdr:rowOff>13812</xdr:rowOff>
    </xdr:from>
    <xdr:to>
      <xdr:col>16</xdr:col>
      <xdr:colOff>284078</xdr:colOff>
      <xdr:row>11</xdr:row>
      <xdr:rowOff>33499</xdr:rowOff>
    </xdr:to>
    <xdr:graphicFrame macro="">
      <xdr:nvGraphicFramePr>
        <xdr:cNvPr id="2" name="Chart 1">
          <a:extLst>
            <a:ext uri="{FF2B5EF4-FFF2-40B4-BE49-F238E27FC236}">
              <a16:creationId xmlns:a16="http://schemas.microsoft.com/office/drawing/2014/main" id="{324A9731-DAA8-4150-A4AD-E1B5DC806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22385</xdr:colOff>
      <xdr:row>14</xdr:row>
      <xdr:rowOff>15239</xdr:rowOff>
    </xdr:from>
    <xdr:to>
      <xdr:col>16</xdr:col>
      <xdr:colOff>317416</xdr:colOff>
      <xdr:row>25</xdr:row>
      <xdr:rowOff>23020</xdr:rowOff>
    </xdr:to>
    <xdr:graphicFrame macro="">
      <xdr:nvGraphicFramePr>
        <xdr:cNvPr id="3" name="Chart 2">
          <a:extLst>
            <a:ext uri="{FF2B5EF4-FFF2-40B4-BE49-F238E27FC236}">
              <a16:creationId xmlns:a16="http://schemas.microsoft.com/office/drawing/2014/main" id="{97ECF6DB-316D-4E41-B290-FCD0852C5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132633</xdr:colOff>
      <xdr:row>1</xdr:row>
      <xdr:rowOff>119062</xdr:rowOff>
    </xdr:from>
    <xdr:to>
      <xdr:col>26</xdr:col>
      <xdr:colOff>427664</xdr:colOff>
      <xdr:row>12</xdr:row>
      <xdr:rowOff>138750</xdr:rowOff>
    </xdr:to>
    <xdr:graphicFrame macro="">
      <xdr:nvGraphicFramePr>
        <xdr:cNvPr id="4" name="Chart 3">
          <a:extLst>
            <a:ext uri="{FF2B5EF4-FFF2-40B4-BE49-F238E27FC236}">
              <a16:creationId xmlns:a16="http://schemas.microsoft.com/office/drawing/2014/main" id="{86B64F17-14E9-479A-94BB-1EE59A6B54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59529</xdr:colOff>
      <xdr:row>13</xdr:row>
      <xdr:rowOff>178593</xdr:rowOff>
    </xdr:from>
    <xdr:to>
      <xdr:col>26</xdr:col>
      <xdr:colOff>559591</xdr:colOff>
      <xdr:row>25</xdr:row>
      <xdr:rowOff>154779</xdr:rowOff>
    </xdr:to>
    <xdr:graphicFrame macro="">
      <xdr:nvGraphicFramePr>
        <xdr:cNvPr id="5" name="Chart 4">
          <a:extLst>
            <a:ext uri="{FF2B5EF4-FFF2-40B4-BE49-F238E27FC236}">
              <a16:creationId xmlns:a16="http://schemas.microsoft.com/office/drawing/2014/main" id="{7B3B645C-D7E7-4B2A-9F13-D4B9BDDEEA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6668</xdr:colOff>
      <xdr:row>28</xdr:row>
      <xdr:rowOff>236337</xdr:rowOff>
    </xdr:from>
    <xdr:to>
      <xdr:col>16</xdr:col>
      <xdr:colOff>301699</xdr:colOff>
      <xdr:row>40</xdr:row>
      <xdr:rowOff>142875</xdr:rowOff>
    </xdr:to>
    <xdr:graphicFrame macro="">
      <xdr:nvGraphicFramePr>
        <xdr:cNvPr id="6" name="Chart 5">
          <a:extLst>
            <a:ext uri="{FF2B5EF4-FFF2-40B4-BE49-F238E27FC236}">
              <a16:creationId xmlns:a16="http://schemas.microsoft.com/office/drawing/2014/main" id="{907484DB-140B-42BE-B399-A2346C622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485179</xdr:colOff>
      <xdr:row>28</xdr:row>
      <xdr:rowOff>119063</xdr:rowOff>
    </xdr:from>
    <xdr:to>
      <xdr:col>26</xdr:col>
      <xdr:colOff>333375</xdr:colOff>
      <xdr:row>40</xdr:row>
      <xdr:rowOff>130969</xdr:rowOff>
    </xdr:to>
    <xdr:graphicFrame macro="">
      <xdr:nvGraphicFramePr>
        <xdr:cNvPr id="7" name="Chart 6">
          <a:extLst>
            <a:ext uri="{FF2B5EF4-FFF2-40B4-BE49-F238E27FC236}">
              <a16:creationId xmlns:a16="http://schemas.microsoft.com/office/drawing/2014/main" id="{35E794D4-821C-4746-AB5A-3998C8846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saadcprd01\gsadata\Bedryfsbediening\Produksie\Produksie%20Begroting\Somer%20gewas%20streke\Somer%20begrotings\2017-18\GSA-17-18%20Noordwes%20begroting%20North%20West%20budg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Bedryfsbediening\Produksie\Produksie%20Begroting\Somer%20gewas%20streke\Somer%20begrotings\2017-18\GSA-17-18%20Noordwes%20begroting%20North%20West%20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Users\petru\AppData\Local\Microsoft\Windows\Temporary%20Internet%20Files\Content.Outlook\OCSLA1IY\GSA-18-19%20Noordwes%20mode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SA-16-17%20Noordwes%20Vrystaat%20begroting%20-%20North%20west%20Free%20state%20budge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Bedryfsbediening/Produksie/Produksie%20Begroting/Somer%20gewas%20streke/Somer%20modelle/2018-19/GSA-18-19%20Oostelike%20Hoeveld%20model.xlsx" TargetMode="External"/><Relationship Id="rId1" Type="http://schemas.openxmlformats.org/officeDocument/2006/relationships/externalLinkPath" Target="/Bedryfsbediening/Produksie/Produksie%20Begroting/Somer%20gewas%20streke/Somer%20modelle/2018-19/GSA-18-19%20Oostelike%20Hoeveld%20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se"/>
      <sheetName val="W-Mielie "/>
      <sheetName val="W-BT Mielies"/>
      <sheetName val="W-Roundup R mielies "/>
      <sheetName val="Stapelgeen Mielie"/>
      <sheetName val="Sonneblom"/>
      <sheetName val="Sojabone"/>
      <sheetName val="Graansorghum"/>
      <sheetName val="Grondbone"/>
      <sheetName val="Bes-mielies"/>
    </sheetNames>
    <sheetDataSet>
      <sheetData sheetId="0"/>
      <sheetData sheetId="1"/>
      <sheetData sheetId="2">
        <row r="9">
          <cell r="K9">
            <v>2.5</v>
          </cell>
        </row>
        <row r="10">
          <cell r="K10">
            <v>3</v>
          </cell>
        </row>
        <row r="11">
          <cell r="K11">
            <v>3.5</v>
          </cell>
        </row>
        <row r="12">
          <cell r="K12">
            <v>4</v>
          </cell>
        </row>
        <row r="13">
          <cell r="K13">
            <v>4.5</v>
          </cell>
        </row>
        <row r="14">
          <cell r="K14">
            <v>5</v>
          </cell>
        </row>
      </sheetData>
      <sheetData sheetId="3"/>
      <sheetData sheetId="4"/>
      <sheetData sheetId="5">
        <row r="9">
          <cell r="K9">
            <v>1</v>
          </cell>
        </row>
        <row r="10">
          <cell r="K10">
            <v>1.25</v>
          </cell>
        </row>
        <row r="11">
          <cell r="K11">
            <v>1.5</v>
          </cell>
        </row>
        <row r="12">
          <cell r="K12">
            <v>1.75</v>
          </cell>
        </row>
        <row r="13">
          <cell r="K13">
            <v>2</v>
          </cell>
        </row>
      </sheetData>
      <sheetData sheetId="6">
        <row r="9">
          <cell r="K9">
            <v>1</v>
          </cell>
        </row>
        <row r="10">
          <cell r="K10">
            <v>1.25</v>
          </cell>
        </row>
        <row r="11">
          <cell r="K11">
            <v>1.5</v>
          </cell>
        </row>
        <row r="12">
          <cell r="K12">
            <v>1.75</v>
          </cell>
        </row>
        <row r="13">
          <cell r="K13">
            <v>2</v>
          </cell>
        </row>
      </sheetData>
      <sheetData sheetId="7">
        <row r="9">
          <cell r="K9">
            <v>2</v>
          </cell>
        </row>
        <row r="10">
          <cell r="K10">
            <v>2.5</v>
          </cell>
        </row>
        <row r="11">
          <cell r="K11">
            <v>3</v>
          </cell>
        </row>
        <row r="12">
          <cell r="K12">
            <v>3.5</v>
          </cell>
        </row>
        <row r="13">
          <cell r="K13">
            <v>4</v>
          </cell>
        </row>
      </sheetData>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se"/>
      <sheetName val="W-Mielie "/>
      <sheetName val="W-BT Mielies"/>
      <sheetName val="W-Roundup R mielies "/>
      <sheetName val="Stapelgeen Mielie"/>
      <sheetName val="Sonneblom"/>
      <sheetName val="Sojabone"/>
      <sheetName val="Graansorghum"/>
      <sheetName val="Grondbone"/>
      <sheetName val="Bes-mielies"/>
    </sheetNames>
    <sheetDataSet>
      <sheetData sheetId="0"/>
      <sheetData sheetId="1"/>
      <sheetData sheetId="2">
        <row r="9">
          <cell r="K9">
            <v>2.5</v>
          </cell>
        </row>
        <row r="10">
          <cell r="K10">
            <v>3</v>
          </cell>
        </row>
        <row r="11">
          <cell r="K11">
            <v>3.5</v>
          </cell>
        </row>
        <row r="12">
          <cell r="K12">
            <v>4</v>
          </cell>
        </row>
        <row r="13">
          <cell r="K13">
            <v>4.5</v>
          </cell>
        </row>
        <row r="14">
          <cell r="K14">
            <v>5</v>
          </cell>
        </row>
      </sheetData>
      <sheetData sheetId="3"/>
      <sheetData sheetId="4"/>
      <sheetData sheetId="5">
        <row r="9">
          <cell r="K9">
            <v>1</v>
          </cell>
        </row>
        <row r="10">
          <cell r="K10">
            <v>1.25</v>
          </cell>
        </row>
        <row r="11">
          <cell r="K11">
            <v>1.5</v>
          </cell>
        </row>
        <row r="12">
          <cell r="K12">
            <v>1.75</v>
          </cell>
        </row>
        <row r="13">
          <cell r="K13">
            <v>2</v>
          </cell>
        </row>
      </sheetData>
      <sheetData sheetId="6">
        <row r="9">
          <cell r="K9">
            <v>1</v>
          </cell>
        </row>
      </sheetData>
      <sheetData sheetId="7">
        <row r="9">
          <cell r="K9">
            <v>2</v>
          </cell>
        </row>
      </sheetData>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edprices"/>
      <sheetName val="Price sheet "/>
      <sheetName val="Crops planted"/>
      <sheetName val="Inventarus "/>
      <sheetName val="Laste"/>
      <sheetName val="vaste koste"/>
      <sheetName val="W-Mielie "/>
      <sheetName val="W-BT Mielies"/>
      <sheetName val="Sonneblom"/>
      <sheetName val="Sojabone"/>
      <sheetName val="Graansorghum"/>
      <sheetName val="Grondbone"/>
      <sheetName val="Oorlê"/>
      <sheetName val="Bes-mielies"/>
      <sheetName val="Crop Comparison"/>
      <sheetName val="Rent calculations"/>
      <sheetName val="Pryse + Sensatiwiteitsanalise"/>
      <sheetName val="Strategie"/>
      <sheetName val="sheet"/>
      <sheetName val="sheet 2"/>
    </sheetNames>
    <sheetDataSet>
      <sheetData sheetId="0" refreshError="1">
        <row r="3">
          <cell r="A3" t="str">
            <v>Monsanto Average Conven</v>
          </cell>
          <cell r="B3">
            <v>3014</v>
          </cell>
        </row>
        <row r="4">
          <cell r="A4" t="str">
            <v>Monsanto Average BT</v>
          </cell>
          <cell r="B4">
            <v>4202</v>
          </cell>
        </row>
        <row r="5">
          <cell r="A5" t="str">
            <v>Monsanto Average RR</v>
          </cell>
          <cell r="B5">
            <v>3966</v>
          </cell>
        </row>
        <row r="6">
          <cell r="A6" t="str">
            <v>Monsanto Average BR</v>
          </cell>
          <cell r="B6">
            <v>4455</v>
          </cell>
        </row>
        <row r="7">
          <cell r="A7" t="str">
            <v>DKC 73-72</v>
          </cell>
          <cell r="B7">
            <v>3535</v>
          </cell>
        </row>
        <row r="8">
          <cell r="A8" t="str">
            <v>DKC 80-10</v>
          </cell>
          <cell r="B8">
            <v>2002</v>
          </cell>
        </row>
        <row r="9">
          <cell r="A9" t="str">
            <v>DKC 71-42</v>
          </cell>
          <cell r="B9">
            <v>3612</v>
          </cell>
        </row>
        <row r="10">
          <cell r="A10" t="str">
            <v>DKC 61-90*</v>
          </cell>
          <cell r="B10">
            <v>2773</v>
          </cell>
        </row>
        <row r="11">
          <cell r="A11" t="str">
            <v>DKC 74-20</v>
          </cell>
          <cell r="B11">
            <v>3296</v>
          </cell>
        </row>
        <row r="12">
          <cell r="A12" t="str">
            <v>DKC 73-70B Gen</v>
          </cell>
          <cell r="B12">
            <v>4259</v>
          </cell>
        </row>
        <row r="13">
          <cell r="A13" t="str">
            <v>DKC 61-94 BR</v>
          </cell>
          <cell r="B13">
            <v>0</v>
          </cell>
        </row>
        <row r="14">
          <cell r="A14" t="str">
            <v>DKC 62-80 BR Gen</v>
          </cell>
          <cell r="B14">
            <v>0</v>
          </cell>
        </row>
        <row r="15">
          <cell r="A15" t="str">
            <v>DKC 62-84 R</v>
          </cell>
          <cell r="B15">
            <v>3312</v>
          </cell>
        </row>
        <row r="16">
          <cell r="A16" t="str">
            <v>DKC 64-78 BR Gen</v>
          </cell>
          <cell r="B16">
            <v>0</v>
          </cell>
        </row>
        <row r="17">
          <cell r="A17" t="str">
            <v>DKC 66-36 R</v>
          </cell>
          <cell r="B17">
            <v>0</v>
          </cell>
        </row>
        <row r="18">
          <cell r="A18" t="str">
            <v>DKC 73-74BR Gen</v>
          </cell>
          <cell r="B18">
            <v>4711</v>
          </cell>
        </row>
        <row r="19">
          <cell r="A19" t="str">
            <v>DKC 73-76 R</v>
          </cell>
          <cell r="B19">
            <v>4019</v>
          </cell>
        </row>
        <row r="20">
          <cell r="A20" t="str">
            <v>DKC 80-12B Gen</v>
          </cell>
          <cell r="B20">
            <v>3018</v>
          </cell>
        </row>
        <row r="21">
          <cell r="A21" t="str">
            <v>DKC 80-30 R</v>
          </cell>
          <cell r="B21">
            <v>3921</v>
          </cell>
        </row>
        <row r="22">
          <cell r="A22" t="str">
            <v>DKC 80-40BR Gen</v>
          </cell>
          <cell r="B22">
            <v>4672</v>
          </cell>
        </row>
        <row r="23">
          <cell r="A23" t="str">
            <v>DKC 68-50</v>
          </cell>
          <cell r="B23">
            <v>3589</v>
          </cell>
        </row>
        <row r="24">
          <cell r="A24" t="str">
            <v>DKC 68-56R</v>
          </cell>
          <cell r="B24">
            <v>4112</v>
          </cell>
        </row>
        <row r="25">
          <cell r="A25" t="str">
            <v>DKC 74-24B</v>
          </cell>
          <cell r="B25">
            <v>3038</v>
          </cell>
        </row>
        <row r="26">
          <cell r="A26" t="str">
            <v>DKC 74-26R</v>
          </cell>
          <cell r="B26">
            <v>4095</v>
          </cell>
        </row>
        <row r="27">
          <cell r="A27" t="str">
            <v>DKC 71-44B</v>
          </cell>
          <cell r="B27">
            <v>4486</v>
          </cell>
        </row>
        <row r="28">
          <cell r="A28" t="str">
            <v>DKC 68-54B</v>
          </cell>
          <cell r="B28">
            <v>4529</v>
          </cell>
        </row>
        <row r="29">
          <cell r="A29" t="str">
            <v>DKC 68-58BR</v>
          </cell>
          <cell r="B29">
            <v>4862</v>
          </cell>
        </row>
        <row r="30">
          <cell r="A30" t="str">
            <v>DKC 74-74BR</v>
          </cell>
          <cell r="B30">
            <v>4863</v>
          </cell>
        </row>
        <row r="31">
          <cell r="A31" t="str">
            <v>DKC 62-80BR Gen*</v>
          </cell>
          <cell r="B31">
            <v>3896</v>
          </cell>
        </row>
        <row r="32">
          <cell r="A32" t="str">
            <v>DKC 64-54BR*</v>
          </cell>
          <cell r="B32">
            <v>3999</v>
          </cell>
        </row>
        <row r="33">
          <cell r="A33" t="str">
            <v>DKC 64-78BR Gen*</v>
          </cell>
          <cell r="B33">
            <v>2796</v>
          </cell>
        </row>
        <row r="34">
          <cell r="A34" t="str">
            <v>DKC 65-52BR*</v>
          </cell>
          <cell r="B34">
            <v>4010</v>
          </cell>
        </row>
        <row r="35">
          <cell r="A35" t="str">
            <v xml:space="preserve">DKC 65-60 BR* </v>
          </cell>
          <cell r="B35">
            <v>3895</v>
          </cell>
        </row>
        <row r="36">
          <cell r="A36" t="str">
            <v>CRN 3505</v>
          </cell>
          <cell r="B36">
            <v>3333</v>
          </cell>
        </row>
        <row r="37">
          <cell r="A37" t="str">
            <v>DKC 78-27</v>
          </cell>
          <cell r="B37">
            <v>3746</v>
          </cell>
        </row>
        <row r="38">
          <cell r="A38" t="str">
            <v>DKC 63-53*</v>
          </cell>
          <cell r="B38">
            <v>1621</v>
          </cell>
        </row>
        <row r="39">
          <cell r="A39" t="str">
            <v>DKC 77-77 BR</v>
          </cell>
          <cell r="B39">
            <v>5069</v>
          </cell>
        </row>
        <row r="40">
          <cell r="A40" t="str">
            <v>DKC 77-85B Gen</v>
          </cell>
          <cell r="B40">
            <v>4609</v>
          </cell>
        </row>
        <row r="41">
          <cell r="A41" t="str">
            <v>DKC 78-17 B</v>
          </cell>
          <cell r="B41">
            <v>4532</v>
          </cell>
        </row>
        <row r="42">
          <cell r="A42" t="str">
            <v>DKC 78-35 R</v>
          </cell>
          <cell r="B42">
            <v>4052</v>
          </cell>
        </row>
        <row r="43">
          <cell r="A43" t="str">
            <v>DKC 78-45BR Gen</v>
          </cell>
          <cell r="B43">
            <v>4858</v>
          </cell>
        </row>
        <row r="44">
          <cell r="A44" t="str">
            <v>DKC 78-79 BR</v>
          </cell>
          <cell r="B44">
            <v>4845</v>
          </cell>
        </row>
        <row r="45">
          <cell r="A45" t="str">
            <v>DKC 78-83 R</v>
          </cell>
          <cell r="B45">
            <v>4253</v>
          </cell>
        </row>
        <row r="46">
          <cell r="A46" t="str">
            <v>DKC 78-87 B</v>
          </cell>
          <cell r="B46">
            <v>4624</v>
          </cell>
        </row>
        <row r="47">
          <cell r="A47" t="str">
            <v>DKC 76-61B</v>
          </cell>
          <cell r="B47">
            <v>4221</v>
          </cell>
        </row>
        <row r="48">
          <cell r="A48" t="str">
            <v>DKC 75-65 BR</v>
          </cell>
          <cell r="B48">
            <v>5265</v>
          </cell>
        </row>
        <row r="49">
          <cell r="A49" t="str">
            <v>DKC 76-67 BR</v>
          </cell>
          <cell r="B49">
            <v>4635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
      <sheetName val="W-RR mielies Laer opbrengs "/>
      <sheetName val="W-RR mielies Hoer opbrengs  "/>
      <sheetName val="W-BT Mielies "/>
      <sheetName val="Stapelgeen Mielie"/>
      <sheetName val="Verminbe Stapelgeen mielie -5jr"/>
      <sheetName val="Sonneblom"/>
      <sheetName val="Grondbone"/>
      <sheetName val="Sojabone"/>
      <sheetName val="Graansorghum"/>
      <sheetName val="Bes-mielie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edprices"/>
      <sheetName val="Price sheet "/>
      <sheetName val="Crops planted"/>
      <sheetName val="Inventarus "/>
      <sheetName val="Laste"/>
      <sheetName val="vaste koste"/>
      <sheetName val="W-Mielie konvensioneel "/>
      <sheetName val="W-Roundup R mielies "/>
      <sheetName val="W-BT Mielies vermin till"/>
      <sheetName val="Sojabone"/>
      <sheetName val="Sojabone verminderde bewerking"/>
      <sheetName val="Graansorghum"/>
      <sheetName val="Bes-mielies"/>
      <sheetName val="Crop Comparison"/>
      <sheetName val="Rent 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C2" t="str">
            <v>Maize (RR)</v>
          </cell>
          <cell r="F2" t="str">
            <v>Soy bean (min tillage)</v>
          </cell>
          <cell r="G2" t="str">
            <v>Grain Sorghum</v>
          </cell>
          <cell r="H2" t="str">
            <v>Irr-Maize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D5486A-589B-4F97-B7EA-0D152EBCAEF0}" name="Table1" displayName="Table1" ref="A1:F35" totalsRowShown="0" headerRowDxfId="52" dataDxfId="51" tableBorderDxfId="50">
  <autoFilter ref="A1:F35" xr:uid="{54D5486A-589B-4F97-B7EA-0D152EBCAEF0}">
    <filterColumn colId="0" hiddenButton="1"/>
    <filterColumn colId="1" hiddenButton="1"/>
    <filterColumn colId="2" hiddenButton="1"/>
    <filterColumn colId="3" hiddenButton="1"/>
    <filterColumn colId="4" hiddenButton="1"/>
    <filterColumn colId="5" hiddenButton="1"/>
  </autoFilter>
  <tableColumns count="6">
    <tableColumn id="1" xr3:uid="{4B2C3DDB-FB07-4B30-A3BC-369F7725E7AA}" name="EASTERN HIGHVELD INCOME &amp; COST BUDGETS - SUMMER CROPS 2026/27" dataDxfId="49"/>
    <tableColumn id="2" xr3:uid="{DB7C4E8B-B14D-4242-AF69-6EB7E78C70B9}" name="Column1" dataDxfId="48"/>
    <tableColumn id="4" xr3:uid="{90946D66-BE15-400E-B111-9B545D80CEB6}" name="Column3" dataDxfId="47"/>
    <tableColumn id="5" xr3:uid="{E3673239-A1EF-49F6-A784-94B6E8EEB9A7}" name="Column4" dataDxfId="46"/>
    <tableColumn id="6" xr3:uid="{26D27B3A-C75A-4009-8A3E-F1096535D097}" name="Column5" dataDxfId="45"/>
    <tableColumn id="7" xr3:uid="{30AFF2AF-A54A-4753-9377-0B18BCA97A18}" name="Column6" dataDxfId="4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grainsa.co.za/report-documents?cat=14" TargetMode="External"/><Relationship Id="rId4"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71"/>
  <sheetViews>
    <sheetView tabSelected="1" zoomScale="85" zoomScaleNormal="85" workbookViewId="0">
      <selection activeCell="N3" sqref="N3"/>
    </sheetView>
  </sheetViews>
  <sheetFormatPr defaultColWidth="9.109375" defaultRowHeight="13.2" x14ac:dyDescent="0.25"/>
  <cols>
    <col min="1" max="1" width="52.44140625" style="88" customWidth="1"/>
    <col min="2" max="2" width="23.88671875" style="88" bestFit="1" customWidth="1"/>
    <col min="3" max="3" width="5.33203125" style="88" customWidth="1"/>
    <col min="4" max="4" width="23.6640625" style="29" customWidth="1"/>
    <col min="5" max="12" width="10.6640625" style="29" customWidth="1"/>
    <col min="13" max="14" width="9.109375" style="29"/>
    <col min="15" max="15" width="6" style="29" customWidth="1"/>
    <col min="16" max="16" width="33.33203125" style="29" customWidth="1"/>
    <col min="17" max="17" width="13" style="29" customWidth="1"/>
    <col min="18" max="21" width="12.44140625" style="29" bestFit="1" customWidth="1"/>
    <col min="22" max="22" width="7.44140625" style="29" bestFit="1" customWidth="1"/>
    <col min="23" max="26" width="12.44140625" style="29" bestFit="1" customWidth="1"/>
    <col min="27" max="30" width="6" style="29" customWidth="1"/>
    <col min="31" max="31" width="22.6640625" style="29" customWidth="1"/>
    <col min="32" max="32" width="11.6640625" style="29" customWidth="1"/>
    <col min="33" max="41" width="9.44140625" style="29" customWidth="1"/>
    <col min="42" max="16384" width="9.109375" style="29"/>
  </cols>
  <sheetData>
    <row r="1" spans="1:41" s="89" customFormat="1" ht="28.5" customHeight="1" x14ac:dyDescent="0.4">
      <c r="A1" s="108" t="s">
        <v>0</v>
      </c>
      <c r="B1" s="88"/>
      <c r="C1" s="88"/>
      <c r="D1" s="116" t="s">
        <v>1</v>
      </c>
      <c r="E1" s="88"/>
      <c r="F1" s="88"/>
      <c r="G1" s="88"/>
      <c r="H1" s="88"/>
      <c r="I1" s="88"/>
      <c r="J1" s="88"/>
      <c r="K1" s="88"/>
      <c r="L1" s="88"/>
      <c r="M1" s="88"/>
      <c r="N1" s="88"/>
    </row>
    <row r="2" spans="1:41" s="89" customFormat="1" ht="13.5" customHeight="1" x14ac:dyDescent="0.3">
      <c r="A2" s="109" t="s">
        <v>2</v>
      </c>
      <c r="B2" s="296">
        <v>46269</v>
      </c>
      <c r="C2" s="88"/>
      <c r="D2" s="88"/>
      <c r="E2" s="88"/>
      <c r="F2" s="90"/>
      <c r="G2" s="91"/>
      <c r="H2" s="88"/>
      <c r="I2" s="88"/>
      <c r="J2" s="88"/>
      <c r="K2" s="88"/>
      <c r="L2" s="88"/>
      <c r="M2" s="88"/>
      <c r="N2" s="88"/>
    </row>
    <row r="3" spans="1:41" s="89" customFormat="1" ht="32.25" customHeight="1" x14ac:dyDescent="0.3">
      <c r="A3" s="119" t="s">
        <v>3</v>
      </c>
      <c r="B3" s="120" t="s">
        <v>4</v>
      </c>
      <c r="C3" s="88"/>
      <c r="D3" s="121" t="s">
        <v>5</v>
      </c>
      <c r="E3" s="88"/>
      <c r="F3" s="92"/>
      <c r="G3" s="93"/>
      <c r="H3" s="88"/>
      <c r="I3" s="88"/>
      <c r="J3" s="88"/>
      <c r="K3" s="88"/>
      <c r="L3" s="88"/>
    </row>
    <row r="4" spans="1:41" s="89" customFormat="1" ht="13.5" customHeight="1" x14ac:dyDescent="0.3">
      <c r="A4" s="139" t="s">
        <v>6</v>
      </c>
      <c r="B4" s="110">
        <v>4177</v>
      </c>
      <c r="C4" s="117"/>
      <c r="D4" s="118">
        <v>406.25</v>
      </c>
      <c r="E4" s="88"/>
      <c r="F4" s="94"/>
      <c r="G4" s="95"/>
      <c r="H4" s="88"/>
      <c r="I4" s="88"/>
      <c r="J4" s="88"/>
      <c r="K4" s="88"/>
      <c r="L4" s="88"/>
    </row>
    <row r="5" spans="1:41" s="89" customFormat="1" ht="13.5" customHeight="1" x14ac:dyDescent="0.3">
      <c r="A5" s="139" t="s">
        <v>7</v>
      </c>
      <c r="B5" s="110">
        <v>8345</v>
      </c>
      <c r="C5" s="117"/>
      <c r="D5" s="118">
        <v>259.17</v>
      </c>
      <c r="E5" s="88"/>
      <c r="F5" s="94"/>
      <c r="G5" s="95"/>
      <c r="H5" s="88"/>
      <c r="I5" s="88"/>
      <c r="J5" s="88"/>
      <c r="K5" s="88"/>
      <c r="L5" s="88"/>
      <c r="M5" s="88"/>
      <c r="N5" s="88"/>
    </row>
    <row r="6" spans="1:41" s="89" customFormat="1" ht="13.5" customHeight="1" x14ac:dyDescent="0.3">
      <c r="A6" s="139" t="s">
        <v>8</v>
      </c>
      <c r="B6" s="110">
        <v>3500</v>
      </c>
      <c r="C6" s="117"/>
      <c r="D6" s="118">
        <v>92.25</v>
      </c>
      <c r="E6" s="88"/>
      <c r="F6" s="94"/>
      <c r="G6" s="95"/>
      <c r="H6" s="88"/>
      <c r="I6" s="88"/>
      <c r="J6" s="88"/>
      <c r="K6" s="88"/>
      <c r="L6" s="88"/>
      <c r="M6" s="88"/>
      <c r="N6" s="88"/>
    </row>
    <row r="7" spans="1:41" s="89" customFormat="1" ht="13.5" customHeight="1" x14ac:dyDescent="0.3">
      <c r="A7" s="96"/>
      <c r="B7" s="97"/>
      <c r="C7" s="88"/>
      <c r="D7" s="98"/>
      <c r="E7" s="88"/>
      <c r="F7" s="88"/>
      <c r="G7" s="88"/>
      <c r="H7" s="88"/>
      <c r="I7" s="88"/>
      <c r="J7" s="88"/>
      <c r="K7" s="88"/>
      <c r="L7" s="88"/>
      <c r="M7" s="88"/>
      <c r="N7" s="88"/>
    </row>
    <row r="8" spans="1:41" s="89" customFormat="1" ht="13.5" customHeight="1" x14ac:dyDescent="0.4">
      <c r="A8" s="108"/>
      <c r="B8" s="88"/>
      <c r="C8" s="88"/>
      <c r="D8"/>
      <c r="E8" s="88"/>
      <c r="F8" s="88"/>
      <c r="G8" s="88"/>
      <c r="H8" s="88"/>
      <c r="I8" s="88"/>
      <c r="J8" s="88"/>
      <c r="K8" s="88"/>
      <c r="L8" s="88"/>
      <c r="M8" s="88"/>
      <c r="N8" s="88"/>
    </row>
    <row r="9" spans="1:41" s="89" customFormat="1" ht="13.5" customHeight="1" thickBot="1" x14ac:dyDescent="0.35">
      <c r="A9" s="319"/>
      <c r="B9" s="319"/>
      <c r="C9" s="88"/>
      <c r="D9" s="88"/>
      <c r="E9" s="88"/>
      <c r="F9" s="88"/>
      <c r="G9" s="88"/>
      <c r="H9" s="88"/>
      <c r="I9" s="88"/>
      <c r="J9" s="88"/>
      <c r="K9" s="88"/>
      <c r="L9" s="88"/>
      <c r="M9" s="88"/>
      <c r="N9" s="88"/>
    </row>
    <row r="10" spans="1:41" ht="20.25" customHeight="1" thickBot="1" x14ac:dyDescent="0.3">
      <c r="A10" s="122" t="s">
        <v>9</v>
      </c>
      <c r="B10" s="123"/>
      <c r="C10" s="99"/>
      <c r="D10" s="311" t="s">
        <v>10</v>
      </c>
      <c r="E10" s="312"/>
      <c r="F10" s="312"/>
      <c r="G10" s="312"/>
      <c r="H10" s="312"/>
      <c r="I10" s="312"/>
      <c r="J10" s="312"/>
      <c r="K10" s="312"/>
      <c r="L10" s="312"/>
      <c r="M10" s="312"/>
      <c r="N10" s="313"/>
      <c r="P10" s="311" t="s">
        <v>10</v>
      </c>
      <c r="Q10" s="312"/>
      <c r="R10" s="312"/>
      <c r="S10" s="312"/>
      <c r="T10" s="312"/>
      <c r="U10" s="312"/>
      <c r="V10" s="312"/>
      <c r="W10" s="312"/>
      <c r="X10" s="312"/>
      <c r="Y10" s="312"/>
      <c r="Z10" s="313"/>
      <c r="AE10" s="311" t="s">
        <v>11</v>
      </c>
      <c r="AF10" s="312"/>
      <c r="AG10" s="312"/>
      <c r="AH10" s="312"/>
      <c r="AI10" s="312"/>
      <c r="AJ10" s="312"/>
      <c r="AK10" s="312"/>
      <c r="AL10" s="312"/>
      <c r="AM10" s="312"/>
      <c r="AN10" s="312"/>
      <c r="AO10" s="313"/>
    </row>
    <row r="11" spans="1:41" ht="13.5" customHeight="1" thickBot="1" x14ac:dyDescent="0.3">
      <c r="A11" s="111" t="s">
        <v>12</v>
      </c>
      <c r="B11" s="124">
        <f>'Crop Comparison'!B28</f>
        <v>25065.097594456962</v>
      </c>
      <c r="C11" s="100"/>
      <c r="D11" s="31"/>
      <c r="E11" s="32"/>
      <c r="F11" s="33"/>
      <c r="G11" s="34"/>
      <c r="H11" s="33"/>
      <c r="I11" s="33"/>
      <c r="J11" s="33" t="s">
        <v>13</v>
      </c>
      <c r="K11" s="35"/>
      <c r="L11" s="33"/>
      <c r="M11" s="35"/>
      <c r="N11" s="33"/>
      <c r="P11" s="31"/>
      <c r="Q11" s="32"/>
      <c r="R11" s="33"/>
      <c r="S11" s="34"/>
      <c r="T11" s="33"/>
      <c r="U11" s="33"/>
      <c r="V11" s="33" t="s">
        <v>13</v>
      </c>
      <c r="W11" s="35"/>
      <c r="X11" s="33"/>
      <c r="Y11" s="35"/>
      <c r="Z11" s="33"/>
      <c r="AE11" s="31"/>
      <c r="AF11" s="32"/>
      <c r="AG11" s="33"/>
      <c r="AH11" s="34"/>
      <c r="AI11" s="33"/>
      <c r="AJ11" s="33"/>
      <c r="AK11" s="33" t="s">
        <v>13</v>
      </c>
      <c r="AL11" s="35"/>
      <c r="AM11" s="33"/>
      <c r="AN11" s="35"/>
      <c r="AO11" s="33"/>
    </row>
    <row r="12" spans="1:41" ht="13.5" customHeight="1" thickBot="1" x14ac:dyDescent="0.3">
      <c r="A12" s="111" t="s">
        <v>14</v>
      </c>
      <c r="B12" s="124">
        <f>'Crop Comparison'!B30</f>
        <v>8315.9</v>
      </c>
      <c r="C12" s="100"/>
      <c r="D12" s="311" t="s">
        <v>15</v>
      </c>
      <c r="E12" s="313"/>
      <c r="F12" s="36">
        <f>G12-250</f>
        <v>3177</v>
      </c>
      <c r="G12" s="36">
        <f>H12-250</f>
        <v>3427</v>
      </c>
      <c r="H12" s="36">
        <f>I12-250</f>
        <v>3677</v>
      </c>
      <c r="I12" s="36">
        <f>J12-250</f>
        <v>3927</v>
      </c>
      <c r="J12" s="37">
        <f>B17</f>
        <v>4177</v>
      </c>
      <c r="K12" s="36">
        <f>J12+250</f>
        <v>4427</v>
      </c>
      <c r="L12" s="36">
        <f>K12+250</f>
        <v>4677</v>
      </c>
      <c r="M12" s="36">
        <f>L12+250</f>
        <v>4927</v>
      </c>
      <c r="N12" s="36">
        <f>M12+250</f>
        <v>5177</v>
      </c>
      <c r="P12" s="311" t="s">
        <v>15</v>
      </c>
      <c r="Q12" s="313"/>
      <c r="R12" s="36">
        <f>F12</f>
        <v>3177</v>
      </c>
      <c r="S12" s="36">
        <f t="shared" ref="S12:Z12" si="0">G12</f>
        <v>3427</v>
      </c>
      <c r="T12" s="36">
        <f t="shared" si="0"/>
        <v>3677</v>
      </c>
      <c r="U12" s="36">
        <f t="shared" si="0"/>
        <v>3927</v>
      </c>
      <c r="V12" s="36">
        <f t="shared" si="0"/>
        <v>4177</v>
      </c>
      <c r="W12" s="36">
        <f t="shared" si="0"/>
        <v>4427</v>
      </c>
      <c r="X12" s="36">
        <f t="shared" si="0"/>
        <v>4677</v>
      </c>
      <c r="Y12" s="36">
        <f t="shared" si="0"/>
        <v>4927</v>
      </c>
      <c r="Z12" s="36">
        <f t="shared" si="0"/>
        <v>5177</v>
      </c>
      <c r="AE12" s="311" t="s">
        <v>15</v>
      </c>
      <c r="AF12" s="313"/>
      <c r="AG12" s="36">
        <f>AH12-250</f>
        <v>3177</v>
      </c>
      <c r="AH12" s="36">
        <f>AI12-250</f>
        <v>3427</v>
      </c>
      <c r="AI12" s="36">
        <f>AJ12-250</f>
        <v>3677</v>
      </c>
      <c r="AJ12" s="36">
        <f>AK12-250</f>
        <v>3927</v>
      </c>
      <c r="AK12" s="33">
        <f>J12</f>
        <v>4177</v>
      </c>
      <c r="AL12" s="36">
        <f>AK12+250</f>
        <v>4427</v>
      </c>
      <c r="AM12" s="36">
        <f>AL12+250</f>
        <v>4677</v>
      </c>
      <c r="AN12" s="36">
        <f>AM12+250</f>
        <v>4927</v>
      </c>
      <c r="AO12" s="36">
        <f>AN12+250</f>
        <v>5177</v>
      </c>
    </row>
    <row r="13" spans="1:41" ht="13.5" customHeight="1" thickBot="1" x14ac:dyDescent="0.3">
      <c r="A13" s="112" t="s">
        <v>16</v>
      </c>
      <c r="B13" s="125">
        <f>B12+B11</f>
        <v>33380.99759445696</v>
      </c>
      <c r="C13" s="101"/>
      <c r="D13" s="317" t="s">
        <v>17</v>
      </c>
      <c r="E13" s="318"/>
      <c r="F13" s="38">
        <f t="shared" ref="F13:N13" si="1">F12-$B$18</f>
        <v>2770.75</v>
      </c>
      <c r="G13" s="38">
        <f t="shared" si="1"/>
        <v>3020.75</v>
      </c>
      <c r="H13" s="38">
        <f t="shared" si="1"/>
        <v>3270.75</v>
      </c>
      <c r="I13" s="38">
        <f t="shared" si="1"/>
        <v>3520.75</v>
      </c>
      <c r="J13" s="39">
        <f>J12-$B$18</f>
        <v>3770.75</v>
      </c>
      <c r="K13" s="38">
        <f t="shared" si="1"/>
        <v>4020.75</v>
      </c>
      <c r="L13" s="38">
        <f t="shared" si="1"/>
        <v>4270.75</v>
      </c>
      <c r="M13" s="38">
        <f t="shared" si="1"/>
        <v>4520.75</v>
      </c>
      <c r="N13" s="38">
        <f t="shared" si="1"/>
        <v>4770.75</v>
      </c>
      <c r="P13" s="317" t="s">
        <v>17</v>
      </c>
      <c r="Q13" s="318"/>
      <c r="R13" s="38">
        <f t="shared" ref="R13:U13" si="2">R12-$B$18</f>
        <v>2770.75</v>
      </c>
      <c r="S13" s="38">
        <f t="shared" si="2"/>
        <v>3020.75</v>
      </c>
      <c r="T13" s="38">
        <f t="shared" si="2"/>
        <v>3270.75</v>
      </c>
      <c r="U13" s="38">
        <f t="shared" si="2"/>
        <v>3520.75</v>
      </c>
      <c r="V13" s="39">
        <f>V12-$B$18</f>
        <v>3770.75</v>
      </c>
      <c r="W13" s="38">
        <f t="shared" ref="W13:Z13" si="3">W12-$B$18</f>
        <v>4020.75</v>
      </c>
      <c r="X13" s="38">
        <f t="shared" si="3"/>
        <v>4270.75</v>
      </c>
      <c r="Y13" s="38">
        <f t="shared" si="3"/>
        <v>4520.75</v>
      </c>
      <c r="Z13" s="38">
        <f t="shared" si="3"/>
        <v>4770.75</v>
      </c>
      <c r="AE13" s="317" t="s">
        <v>17</v>
      </c>
      <c r="AF13" s="318"/>
      <c r="AG13" s="38">
        <f t="shared" ref="AG13:AO13" si="4">AG12-$B$18</f>
        <v>2770.75</v>
      </c>
      <c r="AH13" s="38">
        <f t="shared" si="4"/>
        <v>3020.75</v>
      </c>
      <c r="AI13" s="38">
        <f t="shared" si="4"/>
        <v>3270.75</v>
      </c>
      <c r="AJ13" s="38">
        <f t="shared" si="4"/>
        <v>3520.75</v>
      </c>
      <c r="AK13" s="40">
        <f t="shared" si="4"/>
        <v>3770.75</v>
      </c>
      <c r="AL13" s="38">
        <f t="shared" si="4"/>
        <v>4020.75</v>
      </c>
      <c r="AM13" s="38">
        <f t="shared" si="4"/>
        <v>4270.75</v>
      </c>
      <c r="AN13" s="38">
        <f t="shared" si="4"/>
        <v>4520.75</v>
      </c>
      <c r="AO13" s="38">
        <f t="shared" si="4"/>
        <v>4770.75</v>
      </c>
    </row>
    <row r="14" spans="1:41" ht="13.5" customHeight="1" thickBot="1" x14ac:dyDescent="0.3">
      <c r="A14" s="111"/>
      <c r="B14" s="100"/>
      <c r="C14" s="100"/>
      <c r="D14" s="314" t="s">
        <v>18</v>
      </c>
      <c r="E14" s="41">
        <f>E15-0.5</f>
        <v>6.26</v>
      </c>
      <c r="F14" s="42">
        <f t="shared" ref="F14:N18" si="5">F$13-($B$13/$E14)</f>
        <v>-2561.6777307439233</v>
      </c>
      <c r="G14" s="43">
        <f t="shared" si="5"/>
        <v>-2311.6777307439233</v>
      </c>
      <c r="H14" s="43">
        <f t="shared" si="5"/>
        <v>-2061.6777307439233</v>
      </c>
      <c r="I14" s="43">
        <f t="shared" si="5"/>
        <v>-1811.6777307439233</v>
      </c>
      <c r="J14" s="43">
        <f t="shared" si="5"/>
        <v>-1561.6777307439233</v>
      </c>
      <c r="K14" s="43">
        <f t="shared" si="5"/>
        <v>-1311.6777307439233</v>
      </c>
      <c r="L14" s="43">
        <f t="shared" si="5"/>
        <v>-1061.6777307439233</v>
      </c>
      <c r="M14" s="44">
        <f t="shared" si="5"/>
        <v>-811.67773074392335</v>
      </c>
      <c r="N14" s="45">
        <f t="shared" si="5"/>
        <v>-561.67773074392335</v>
      </c>
      <c r="P14" s="314" t="s">
        <v>18</v>
      </c>
      <c r="Q14" s="41">
        <f>E14</f>
        <v>6.26</v>
      </c>
      <c r="R14" s="48">
        <f t="shared" ref="R14:R15" si="6">(Q14*$R$13)-$B$13</f>
        <v>-16036.102594456959</v>
      </c>
      <c r="S14" s="48">
        <f t="shared" ref="S14:S15" si="7">(Q14*$S$13)-$B$13</f>
        <v>-14471.102594456959</v>
      </c>
      <c r="T14" s="48">
        <f t="shared" ref="T14:T15" si="8">(Q14*$T$13)-$B$13</f>
        <v>-12906.102594456959</v>
      </c>
      <c r="U14" s="48">
        <f t="shared" ref="U14:U15" si="9">(Q14*$U$13)-$B$13</f>
        <v>-11341.102594456959</v>
      </c>
      <c r="V14" s="48">
        <f t="shared" ref="V14:V18" si="10">(Q14*$V$13)-$B$13</f>
        <v>-9776.1025944569592</v>
      </c>
      <c r="W14" s="48">
        <f t="shared" ref="W14:W15" si="11">(Q14*$W$13)-$B$13</f>
        <v>-8211.1025944569592</v>
      </c>
      <c r="X14" s="48">
        <f t="shared" ref="X14:X15" si="12">(Q14*$X$13)-$B$13</f>
        <v>-6646.1025944569592</v>
      </c>
      <c r="Y14" s="48">
        <f t="shared" ref="Y14:Y15" si="13">(Q14*$Y$13)-$B$13</f>
        <v>-5081.1025944569592</v>
      </c>
      <c r="Z14" s="48">
        <f t="shared" ref="Z14:Z15" si="14">(Q14*$Z$13)-$B$13</f>
        <v>-3516.1025944569592</v>
      </c>
      <c r="AE14" s="314" t="s">
        <v>18</v>
      </c>
      <c r="AF14" s="41">
        <f>AF15-0.5</f>
        <v>6.26</v>
      </c>
      <c r="AG14" s="42">
        <f>AG$13-($B$11/$E14)</f>
        <v>-1233.259200392486</v>
      </c>
      <c r="AH14" s="42">
        <f t="shared" ref="AH14:AO18" si="15">AH$13-($B$11/$E14)</f>
        <v>-983.25920039248604</v>
      </c>
      <c r="AI14" s="42">
        <f t="shared" si="15"/>
        <v>-733.25920039248604</v>
      </c>
      <c r="AJ14" s="42">
        <f t="shared" si="15"/>
        <v>-483.25920039248604</v>
      </c>
      <c r="AK14" s="42">
        <f t="shared" si="15"/>
        <v>-233.25920039248604</v>
      </c>
      <c r="AL14" s="42">
        <f t="shared" si="15"/>
        <v>16.740799607513964</v>
      </c>
      <c r="AM14" s="42">
        <f t="shared" si="15"/>
        <v>266.74079960751396</v>
      </c>
      <c r="AN14" s="42">
        <f t="shared" si="15"/>
        <v>516.74079960751396</v>
      </c>
      <c r="AO14" s="42">
        <f t="shared" si="15"/>
        <v>766.74079960751396</v>
      </c>
    </row>
    <row r="15" spans="1:41" ht="13.5" customHeight="1" thickBot="1" x14ac:dyDescent="0.3">
      <c r="A15" s="111" t="s">
        <v>19</v>
      </c>
      <c r="B15" s="113">
        <v>7.26</v>
      </c>
      <c r="C15" s="100"/>
      <c r="D15" s="315"/>
      <c r="E15" s="41">
        <f>E16-0.5</f>
        <v>6.76</v>
      </c>
      <c r="F15" s="46">
        <f>F$13-($B$13/$E15)</f>
        <v>-2167.2673956297276</v>
      </c>
      <c r="G15" s="47">
        <f t="shared" si="5"/>
        <v>-1917.2673956297276</v>
      </c>
      <c r="H15" s="47">
        <f t="shared" si="5"/>
        <v>-1667.2673956297276</v>
      </c>
      <c r="I15" s="47">
        <f t="shared" si="5"/>
        <v>-1417.2673956297276</v>
      </c>
      <c r="J15" s="47">
        <f t="shared" si="5"/>
        <v>-1167.2673956297276</v>
      </c>
      <c r="K15" s="48">
        <f t="shared" si="5"/>
        <v>-917.26739562972762</v>
      </c>
      <c r="L15" s="48">
        <f t="shared" si="5"/>
        <v>-667.26739562972762</v>
      </c>
      <c r="M15" s="48">
        <f t="shared" si="5"/>
        <v>-417.26739562972762</v>
      </c>
      <c r="N15" s="49">
        <f t="shared" si="5"/>
        <v>-167.26739562972762</v>
      </c>
      <c r="P15" s="315"/>
      <c r="Q15" s="41">
        <f t="shared" ref="Q15:Q18" si="16">E15</f>
        <v>6.76</v>
      </c>
      <c r="R15" s="48">
        <f t="shared" si="6"/>
        <v>-14650.727594456959</v>
      </c>
      <c r="S15" s="48">
        <f t="shared" si="7"/>
        <v>-12960.727594456959</v>
      </c>
      <c r="T15" s="48">
        <f t="shared" si="8"/>
        <v>-11270.727594456959</v>
      </c>
      <c r="U15" s="48">
        <f t="shared" si="9"/>
        <v>-9580.7275944569592</v>
      </c>
      <c r="V15" s="48">
        <f t="shared" si="10"/>
        <v>-7890.7275944569592</v>
      </c>
      <c r="W15" s="48">
        <f t="shared" si="11"/>
        <v>-6200.7275944569592</v>
      </c>
      <c r="X15" s="48">
        <f t="shared" si="12"/>
        <v>-4510.7275944569592</v>
      </c>
      <c r="Y15" s="48">
        <f t="shared" si="13"/>
        <v>-2820.7275944569592</v>
      </c>
      <c r="Z15" s="48">
        <f t="shared" si="14"/>
        <v>-1130.7275944569592</v>
      </c>
      <c r="AE15" s="315"/>
      <c r="AF15" s="41">
        <f>AF16-0.5</f>
        <v>6.76</v>
      </c>
      <c r="AG15" s="42">
        <f>AG$13-($B$11/$E15)</f>
        <v>-937.10467373623715</v>
      </c>
      <c r="AH15" s="42">
        <f t="shared" si="15"/>
        <v>-687.10467373623715</v>
      </c>
      <c r="AI15" s="42">
        <f t="shared" si="15"/>
        <v>-437.10467373623715</v>
      </c>
      <c r="AJ15" s="42">
        <f t="shared" si="15"/>
        <v>-187.10467373623715</v>
      </c>
      <c r="AK15" s="42">
        <f t="shared" si="15"/>
        <v>62.895326263762854</v>
      </c>
      <c r="AL15" s="42">
        <f t="shared" si="15"/>
        <v>312.89532626376285</v>
      </c>
      <c r="AM15" s="42">
        <f t="shared" si="15"/>
        <v>562.89532626376285</v>
      </c>
      <c r="AN15" s="42">
        <f t="shared" si="15"/>
        <v>812.89532626376285</v>
      </c>
      <c r="AO15" s="42">
        <f t="shared" si="15"/>
        <v>1062.8953262637629</v>
      </c>
    </row>
    <row r="16" spans="1:41" ht="13.5" customHeight="1" thickBot="1" x14ac:dyDescent="0.3">
      <c r="A16" s="111"/>
      <c r="B16" s="100"/>
      <c r="C16" s="100"/>
      <c r="D16" s="315"/>
      <c r="E16" s="50">
        <f>B15</f>
        <v>7.26</v>
      </c>
      <c r="F16" s="46">
        <f t="shared" si="5"/>
        <v>-1827.1835529555046</v>
      </c>
      <c r="G16" s="47">
        <f t="shared" si="5"/>
        <v>-1577.1835529555046</v>
      </c>
      <c r="H16" s="47">
        <f t="shared" si="5"/>
        <v>-1327.1835529555046</v>
      </c>
      <c r="I16" s="47">
        <f t="shared" si="5"/>
        <v>-1077.1835529555046</v>
      </c>
      <c r="J16" s="48">
        <f>J$13-($B$13/$E16)</f>
        <v>-827.18355295550464</v>
      </c>
      <c r="K16" s="48">
        <f t="shared" si="5"/>
        <v>-577.18355295550464</v>
      </c>
      <c r="L16" s="48">
        <f t="shared" si="5"/>
        <v>-327.18355295550464</v>
      </c>
      <c r="M16" s="48">
        <f t="shared" si="5"/>
        <v>-77.183552955504638</v>
      </c>
      <c r="N16" s="49">
        <f t="shared" si="5"/>
        <v>172.81644704449536</v>
      </c>
      <c r="P16" s="315"/>
      <c r="Q16" s="41">
        <f t="shared" si="16"/>
        <v>7.26</v>
      </c>
      <c r="R16" s="48">
        <f>(Q16*$R$13)-$B$13</f>
        <v>-13265.352594456959</v>
      </c>
      <c r="S16" s="48">
        <f>(Q16*$S$13)-$B$13</f>
        <v>-11450.352594456959</v>
      </c>
      <c r="T16" s="48">
        <f>(Q16*$T$13)-$B$13</f>
        <v>-9635.3525944569592</v>
      </c>
      <c r="U16" s="48">
        <f>(Q16*$U$13)-$B$13</f>
        <v>-7820.3525944569592</v>
      </c>
      <c r="V16" s="48">
        <f>($Q$16*V13)-$B$13</f>
        <v>-6005.3525944569592</v>
      </c>
      <c r="W16" s="48">
        <f>(Q16*$W$13)-$B$13</f>
        <v>-4190.3525944569592</v>
      </c>
      <c r="X16" s="48">
        <f>(Q16*$X$13)-$B$13</f>
        <v>-2375.3525944569592</v>
      </c>
      <c r="Y16" s="48">
        <f>(Q16*$Y$13)-$B$13</f>
        <v>-560.35259445696283</v>
      </c>
      <c r="Z16" s="48">
        <f>(Q16*$Z$13)-$B$13</f>
        <v>1254.6474055430372</v>
      </c>
      <c r="AE16" s="315"/>
      <c r="AF16" s="50">
        <f>E16</f>
        <v>7.26</v>
      </c>
      <c r="AG16" s="42">
        <f>AG$13-($B$11/$E16)</f>
        <v>-681.74278160564245</v>
      </c>
      <c r="AH16" s="42">
        <f t="shared" si="15"/>
        <v>-431.74278160564245</v>
      </c>
      <c r="AI16" s="42">
        <f t="shared" si="15"/>
        <v>-181.74278160564245</v>
      </c>
      <c r="AJ16" s="42">
        <f t="shared" si="15"/>
        <v>68.257218394357551</v>
      </c>
      <c r="AK16" s="42">
        <f>AK$13-($B$11/$E16)</f>
        <v>318.25721839435755</v>
      </c>
      <c r="AL16" s="42">
        <f t="shared" si="15"/>
        <v>568.25721839435755</v>
      </c>
      <c r="AM16" s="42">
        <f t="shared" si="15"/>
        <v>818.25721839435755</v>
      </c>
      <c r="AN16" s="42">
        <f t="shared" si="15"/>
        <v>1068.2572183943576</v>
      </c>
      <c r="AO16" s="42">
        <f t="shared" si="15"/>
        <v>1318.2572183943576</v>
      </c>
    </row>
    <row r="17" spans="1:41" ht="13.5" customHeight="1" thickBot="1" x14ac:dyDescent="0.3">
      <c r="A17" s="111" t="s">
        <v>148</v>
      </c>
      <c r="B17" s="124">
        <f>$B$4</f>
        <v>4177</v>
      </c>
      <c r="C17" s="100"/>
      <c r="D17" s="315"/>
      <c r="E17" s="41">
        <f>E16+0.5</f>
        <v>7.76</v>
      </c>
      <c r="F17" s="46">
        <f t="shared" si="5"/>
        <v>-1530.9249477392987</v>
      </c>
      <c r="G17" s="47">
        <f t="shared" si="5"/>
        <v>-1280.9249477392987</v>
      </c>
      <c r="H17" s="47">
        <f t="shared" si="5"/>
        <v>-1030.9249477392987</v>
      </c>
      <c r="I17" s="48">
        <f t="shared" si="5"/>
        <v>-780.92494773929866</v>
      </c>
      <c r="J17" s="48">
        <f t="shared" si="5"/>
        <v>-530.92494773929866</v>
      </c>
      <c r="K17" s="48">
        <f t="shared" si="5"/>
        <v>-280.92494773929866</v>
      </c>
      <c r="L17" s="48">
        <f t="shared" si="5"/>
        <v>-30.924947739298659</v>
      </c>
      <c r="M17" s="48">
        <f t="shared" si="5"/>
        <v>219.07505226070134</v>
      </c>
      <c r="N17" s="49">
        <f t="shared" si="5"/>
        <v>469.07505226070134</v>
      </c>
      <c r="P17" s="315"/>
      <c r="Q17" s="41">
        <f t="shared" si="16"/>
        <v>7.76</v>
      </c>
      <c r="R17" s="48">
        <f t="shared" ref="R17:R18" si="17">(Q17*$R$13)-$B$13</f>
        <v>-11879.977594456959</v>
      </c>
      <c r="S17" s="48">
        <f t="shared" ref="S17:S18" si="18">(Q17*$S$13)-$B$13</f>
        <v>-9939.9775944569592</v>
      </c>
      <c r="T17" s="48">
        <f t="shared" ref="T17:T18" si="19">(Q17*$T$13)-$B$13</f>
        <v>-7999.9775944569592</v>
      </c>
      <c r="U17" s="48">
        <f t="shared" ref="U17:U18" si="20">(Q17*$U$13)-$B$13</f>
        <v>-6059.9775944569592</v>
      </c>
      <c r="V17" s="48">
        <f t="shared" si="10"/>
        <v>-4119.9775944569592</v>
      </c>
      <c r="W17" s="48">
        <f t="shared" ref="W17:W18" si="21">(Q17*$W$13)-$B$13</f>
        <v>-2179.9775944569592</v>
      </c>
      <c r="X17" s="48">
        <f t="shared" ref="X17:X18" si="22">(Q17*$X$13)-$B$13</f>
        <v>-239.97759445696283</v>
      </c>
      <c r="Y17" s="48">
        <f t="shared" ref="Y17:Y18" si="23">(Q17*$Y$13)-$B$13</f>
        <v>1700.0224055430372</v>
      </c>
      <c r="Z17" s="48">
        <f t="shared" ref="Z17:Z18" si="24">(Q17*$Z$13)-$B$13</f>
        <v>3640.0224055430372</v>
      </c>
      <c r="AE17" s="315"/>
      <c r="AF17" s="41">
        <f>AF16+0.5</f>
        <v>7.76</v>
      </c>
      <c r="AG17" s="42">
        <f>AG$13-($B$11/$E17)</f>
        <v>-459.28834980115516</v>
      </c>
      <c r="AH17" s="42">
        <f t="shared" si="15"/>
        <v>-209.28834980115516</v>
      </c>
      <c r="AI17" s="42">
        <f t="shared" si="15"/>
        <v>40.711650198844836</v>
      </c>
      <c r="AJ17" s="42">
        <f t="shared" si="15"/>
        <v>290.71165019884484</v>
      </c>
      <c r="AK17" s="42">
        <f t="shared" si="15"/>
        <v>540.71165019884484</v>
      </c>
      <c r="AL17" s="42">
        <f t="shared" si="15"/>
        <v>790.71165019884484</v>
      </c>
      <c r="AM17" s="42">
        <f t="shared" si="15"/>
        <v>1040.7116501988448</v>
      </c>
      <c r="AN17" s="42">
        <f t="shared" si="15"/>
        <v>1290.7116501988448</v>
      </c>
      <c r="AO17" s="42">
        <f t="shared" si="15"/>
        <v>1540.7116501988448</v>
      </c>
    </row>
    <row r="18" spans="1:41" ht="13.5" customHeight="1" thickBot="1" x14ac:dyDescent="0.3">
      <c r="A18" s="114" t="s">
        <v>20</v>
      </c>
      <c r="B18" s="124">
        <f>D4</f>
        <v>406.25</v>
      </c>
      <c r="C18" s="100"/>
      <c r="D18" s="316"/>
      <c r="E18" s="41">
        <f>E17+0.5</f>
        <v>8.26</v>
      </c>
      <c r="F18" s="51">
        <f t="shared" si="5"/>
        <v>-1270.5330017502374</v>
      </c>
      <c r="G18" s="52">
        <f>G$13-($B$13/$E18)</f>
        <v>-1020.5330017502374</v>
      </c>
      <c r="H18" s="53">
        <f t="shared" si="5"/>
        <v>-770.53300175023742</v>
      </c>
      <c r="I18" s="53">
        <f t="shared" si="5"/>
        <v>-520.53300175023742</v>
      </c>
      <c r="J18" s="53">
        <f>J$13-($B$13/$E18)</f>
        <v>-270.53300175023742</v>
      </c>
      <c r="K18" s="53">
        <f t="shared" si="5"/>
        <v>-20.533001750237418</v>
      </c>
      <c r="L18" s="53">
        <f t="shared" si="5"/>
        <v>229.46699824976258</v>
      </c>
      <c r="M18" s="53">
        <f t="shared" si="5"/>
        <v>479.46699824976258</v>
      </c>
      <c r="N18" s="54">
        <f>N$13-($B$13/$E18)</f>
        <v>729.46699824976258</v>
      </c>
      <c r="P18" s="316"/>
      <c r="Q18" s="41">
        <f t="shared" si="16"/>
        <v>8.26</v>
      </c>
      <c r="R18" s="48">
        <f t="shared" si="17"/>
        <v>-10494.602594456959</v>
      </c>
      <c r="S18" s="48">
        <f t="shared" si="18"/>
        <v>-8429.6025944569592</v>
      </c>
      <c r="T18" s="48">
        <f t="shared" si="19"/>
        <v>-6364.6025944569592</v>
      </c>
      <c r="U18" s="48">
        <f t="shared" si="20"/>
        <v>-4299.6025944569592</v>
      </c>
      <c r="V18" s="48">
        <f t="shared" si="10"/>
        <v>-2234.6025944569592</v>
      </c>
      <c r="W18" s="48">
        <f t="shared" si="21"/>
        <v>-169.60259445696283</v>
      </c>
      <c r="X18" s="48">
        <f t="shared" si="22"/>
        <v>1895.3974055430372</v>
      </c>
      <c r="Y18" s="48">
        <f t="shared" si="23"/>
        <v>3960.3974055430372</v>
      </c>
      <c r="Z18" s="48">
        <f t="shared" si="24"/>
        <v>6025.3974055430372</v>
      </c>
      <c r="AE18" s="316"/>
      <c r="AF18" s="41">
        <f>AF17+0.5</f>
        <v>8.26</v>
      </c>
      <c r="AG18" s="42">
        <f>AG$13-($B$11/$E18)</f>
        <v>-263.76544727081864</v>
      </c>
      <c r="AH18" s="42">
        <f>AH$13-($B$11/$E18)</f>
        <v>-13.76544727081864</v>
      </c>
      <c r="AI18" s="42">
        <f t="shared" si="15"/>
        <v>236.23455272918136</v>
      </c>
      <c r="AJ18" s="42">
        <f t="shared" si="15"/>
        <v>486.23455272918136</v>
      </c>
      <c r="AK18" s="42">
        <f t="shared" si="15"/>
        <v>736.23455272918136</v>
      </c>
      <c r="AL18" s="42">
        <f t="shared" si="15"/>
        <v>986.23455272918136</v>
      </c>
      <c r="AM18" s="42">
        <f t="shared" si="15"/>
        <v>1236.2345527291814</v>
      </c>
      <c r="AN18" s="42">
        <f t="shared" si="15"/>
        <v>1486.2345527291814</v>
      </c>
      <c r="AO18" s="42">
        <f>AO$13-($B$11/$E18)</f>
        <v>1736.2345527291814</v>
      </c>
    </row>
    <row r="19" spans="1:41" ht="13.5" customHeight="1" x14ac:dyDescent="0.25">
      <c r="A19" s="102" t="s">
        <v>21</v>
      </c>
      <c r="B19" s="125">
        <f>B17-B18</f>
        <v>3770.75</v>
      </c>
      <c r="C19" s="100"/>
      <c r="D19" s="55"/>
      <c r="E19" s="56"/>
      <c r="F19" s="57"/>
      <c r="G19" s="57"/>
      <c r="H19" s="57"/>
      <c r="I19" s="57"/>
      <c r="J19" s="57"/>
      <c r="K19" s="57"/>
      <c r="L19" s="57"/>
      <c r="AE19" s="55"/>
      <c r="AF19" s="56"/>
      <c r="AG19" s="57"/>
      <c r="AH19" s="57"/>
      <c r="AI19" s="57"/>
      <c r="AJ19" s="57"/>
      <c r="AK19" s="57"/>
      <c r="AL19" s="57"/>
      <c r="AM19" s="57"/>
    </row>
    <row r="20" spans="1:41" ht="13.5" customHeight="1" x14ac:dyDescent="0.25">
      <c r="A20" s="102"/>
      <c r="B20" s="124"/>
      <c r="C20" s="100"/>
      <c r="D20" s="55"/>
      <c r="E20" s="56"/>
      <c r="F20" s="57"/>
      <c r="G20" s="57"/>
      <c r="H20" s="57"/>
      <c r="I20" s="57"/>
      <c r="J20" s="57"/>
      <c r="K20" s="57"/>
      <c r="L20" s="57"/>
      <c r="AE20" s="55"/>
      <c r="AF20" s="56"/>
      <c r="AG20" s="57"/>
      <c r="AH20" s="57"/>
      <c r="AI20" s="57"/>
      <c r="AJ20" s="57"/>
      <c r="AK20" s="57"/>
      <c r="AL20" s="57"/>
      <c r="AM20" s="57"/>
    </row>
    <row r="21" spans="1:41" ht="13.5" customHeight="1" x14ac:dyDescent="0.25">
      <c r="A21" s="102"/>
      <c r="B21" s="101"/>
      <c r="C21" s="100"/>
      <c r="D21" s="55"/>
      <c r="E21" s="56"/>
      <c r="F21" s="57"/>
      <c r="G21" s="57"/>
      <c r="H21" s="57"/>
      <c r="I21" s="57"/>
      <c r="J21" s="57"/>
      <c r="K21" s="57"/>
      <c r="L21" s="57"/>
      <c r="AE21" s="55"/>
      <c r="AF21" s="56"/>
      <c r="AG21" s="57"/>
      <c r="AH21" s="57"/>
      <c r="AI21" s="57"/>
      <c r="AJ21" s="57"/>
      <c r="AK21" s="57"/>
      <c r="AL21" s="57"/>
      <c r="AM21" s="57"/>
    </row>
    <row r="22" spans="1:41" s="30" customFormat="1" ht="33.75" customHeight="1" thickBot="1" x14ac:dyDescent="0.35">
      <c r="A22" s="320"/>
      <c r="B22" s="320"/>
      <c r="C22" s="88"/>
      <c r="D22" s="29"/>
      <c r="E22" s="29"/>
      <c r="F22" s="29"/>
      <c r="G22" s="29"/>
      <c r="H22" s="29"/>
      <c r="I22" s="29"/>
      <c r="J22" s="29"/>
      <c r="K22" s="29"/>
      <c r="L22" s="29"/>
      <c r="M22" s="29"/>
      <c r="N22" s="29"/>
    </row>
    <row r="23" spans="1:41" ht="20.25" customHeight="1" thickBot="1" x14ac:dyDescent="0.3">
      <c r="A23" s="122" t="s">
        <v>22</v>
      </c>
      <c r="B23" s="123"/>
      <c r="C23" s="99"/>
      <c r="D23" s="311" t="s">
        <v>10</v>
      </c>
      <c r="E23" s="312"/>
      <c r="F23" s="312"/>
      <c r="G23" s="312"/>
      <c r="H23" s="312"/>
      <c r="I23" s="312"/>
      <c r="J23" s="312"/>
      <c r="K23" s="312"/>
      <c r="L23" s="312"/>
      <c r="M23" s="312"/>
      <c r="N23" s="313"/>
      <c r="AE23" s="311" t="s">
        <v>11</v>
      </c>
      <c r="AF23" s="312"/>
      <c r="AG23" s="312"/>
      <c r="AH23" s="312"/>
      <c r="AI23" s="312"/>
      <c r="AJ23" s="312"/>
      <c r="AK23" s="312"/>
      <c r="AL23" s="312"/>
      <c r="AM23" s="312"/>
      <c r="AN23" s="312"/>
      <c r="AO23" s="313"/>
    </row>
    <row r="24" spans="1:41" ht="13.5" customHeight="1" thickBot="1" x14ac:dyDescent="0.3">
      <c r="A24" s="111" t="s">
        <v>12</v>
      </c>
      <c r="B24" s="124">
        <f>'Mielie Vermin Bewerk'!G26</f>
        <v>21357.879895245183</v>
      </c>
      <c r="C24" s="100"/>
      <c r="D24" s="31"/>
      <c r="E24" s="32"/>
      <c r="F24" s="33"/>
      <c r="G24" s="34"/>
      <c r="H24" s="33"/>
      <c r="I24" s="33"/>
      <c r="J24" s="33" t="s">
        <v>13</v>
      </c>
      <c r="K24" s="35"/>
      <c r="L24" s="33"/>
      <c r="M24" s="35"/>
      <c r="N24" s="33"/>
      <c r="AE24" s="31"/>
      <c r="AF24" s="32"/>
      <c r="AG24" s="33"/>
      <c r="AH24" s="34"/>
      <c r="AI24" s="33"/>
      <c r="AJ24" s="33"/>
      <c r="AK24" s="33" t="s">
        <v>13</v>
      </c>
      <c r="AL24" s="35"/>
      <c r="AM24" s="33"/>
      <c r="AN24" s="35"/>
      <c r="AO24" s="33"/>
    </row>
    <row r="25" spans="1:41" ht="13.5" customHeight="1" thickBot="1" x14ac:dyDescent="0.3">
      <c r="A25" s="111" t="s">
        <v>14</v>
      </c>
      <c r="B25" s="124">
        <f>'Mielie Vermin Bewerk'!G28</f>
        <v>5431.87</v>
      </c>
      <c r="C25" s="100"/>
      <c r="D25" s="311" t="s">
        <v>15</v>
      </c>
      <c r="E25" s="313"/>
      <c r="F25" s="36">
        <f>G25-250</f>
        <v>3177</v>
      </c>
      <c r="G25" s="36">
        <f>H25-250</f>
        <v>3427</v>
      </c>
      <c r="H25" s="36">
        <f>I25-250</f>
        <v>3677</v>
      </c>
      <c r="I25" s="36">
        <f>J25-250</f>
        <v>3927</v>
      </c>
      <c r="J25" s="37">
        <f>B30</f>
        <v>4177</v>
      </c>
      <c r="K25" s="36">
        <f>J25+250</f>
        <v>4427</v>
      </c>
      <c r="L25" s="36">
        <f>K25+250</f>
        <v>4677</v>
      </c>
      <c r="M25" s="36">
        <f>L25+250</f>
        <v>4927</v>
      </c>
      <c r="N25" s="36">
        <f>M25+250</f>
        <v>5177</v>
      </c>
      <c r="AE25" s="311" t="s">
        <v>15</v>
      </c>
      <c r="AF25" s="313"/>
      <c r="AG25" s="36">
        <f>AH25-250</f>
        <v>3177</v>
      </c>
      <c r="AH25" s="36">
        <f>AI25-250</f>
        <v>3427</v>
      </c>
      <c r="AI25" s="36">
        <f>AJ25-250</f>
        <v>3677</v>
      </c>
      <c r="AJ25" s="36">
        <f>AK25-250</f>
        <v>3927</v>
      </c>
      <c r="AK25" s="33">
        <f>J25</f>
        <v>4177</v>
      </c>
      <c r="AL25" s="36">
        <f>AK25+250</f>
        <v>4427</v>
      </c>
      <c r="AM25" s="36">
        <f>AL25+250</f>
        <v>4677</v>
      </c>
      <c r="AN25" s="36">
        <f>AM25+250</f>
        <v>4927</v>
      </c>
      <c r="AO25" s="36">
        <f>AN25+250</f>
        <v>5177</v>
      </c>
    </row>
    <row r="26" spans="1:41" ht="13.5" customHeight="1" thickBot="1" x14ac:dyDescent="0.3">
      <c r="A26" s="112" t="s">
        <v>16</v>
      </c>
      <c r="B26" s="125">
        <f>B25+B24</f>
        <v>26789.749895245182</v>
      </c>
      <c r="C26" s="101"/>
      <c r="D26" s="317" t="s">
        <v>17</v>
      </c>
      <c r="E26" s="318"/>
      <c r="F26" s="38">
        <f t="shared" ref="F26:N26" si="25">F25-$B$18</f>
        <v>2770.75</v>
      </c>
      <c r="G26" s="38">
        <f t="shared" si="25"/>
        <v>3020.75</v>
      </c>
      <c r="H26" s="38">
        <f t="shared" si="25"/>
        <v>3270.75</v>
      </c>
      <c r="I26" s="38">
        <f t="shared" si="25"/>
        <v>3520.75</v>
      </c>
      <c r="J26" s="39">
        <f t="shared" si="25"/>
        <v>3770.75</v>
      </c>
      <c r="K26" s="38">
        <f t="shared" si="25"/>
        <v>4020.75</v>
      </c>
      <c r="L26" s="38">
        <f t="shared" si="25"/>
        <v>4270.75</v>
      </c>
      <c r="M26" s="38">
        <f t="shared" si="25"/>
        <v>4520.75</v>
      </c>
      <c r="N26" s="38">
        <f t="shared" si="25"/>
        <v>4770.75</v>
      </c>
      <c r="AE26" s="317" t="s">
        <v>17</v>
      </c>
      <c r="AF26" s="318"/>
      <c r="AG26" s="38">
        <f t="shared" ref="AG26:AO26" si="26">AG25-$B$18</f>
        <v>2770.75</v>
      </c>
      <c r="AH26" s="38">
        <f t="shared" si="26"/>
        <v>3020.75</v>
      </c>
      <c r="AI26" s="38">
        <f t="shared" si="26"/>
        <v>3270.75</v>
      </c>
      <c r="AJ26" s="38">
        <f t="shared" si="26"/>
        <v>3520.75</v>
      </c>
      <c r="AK26" s="40">
        <f t="shared" si="26"/>
        <v>3770.75</v>
      </c>
      <c r="AL26" s="38">
        <f t="shared" si="26"/>
        <v>4020.75</v>
      </c>
      <c r="AM26" s="38">
        <f t="shared" si="26"/>
        <v>4270.75</v>
      </c>
      <c r="AN26" s="38">
        <f t="shared" si="26"/>
        <v>4520.75</v>
      </c>
      <c r="AO26" s="38">
        <f t="shared" si="26"/>
        <v>4770.75</v>
      </c>
    </row>
    <row r="27" spans="1:41" ht="13.5" customHeight="1" thickBot="1" x14ac:dyDescent="0.3">
      <c r="A27" s="111"/>
      <c r="B27" s="100"/>
      <c r="C27" s="100"/>
      <c r="D27" s="314" t="s">
        <v>18</v>
      </c>
      <c r="E27" s="41">
        <f>E28-0.5</f>
        <v>5</v>
      </c>
      <c r="F27" s="42">
        <f>F$13-($B$26/$E27)</f>
        <v>-2587.1999790490363</v>
      </c>
      <c r="G27" s="42">
        <f t="shared" ref="G27:N31" si="27">G$13-($B$26/$E27)</f>
        <v>-2337.1999790490363</v>
      </c>
      <c r="H27" s="42">
        <f t="shared" si="27"/>
        <v>-2087.1999790490363</v>
      </c>
      <c r="I27" s="42">
        <f t="shared" si="27"/>
        <v>-1837.1999790490363</v>
      </c>
      <c r="J27" s="42">
        <f t="shared" si="27"/>
        <v>-1587.1999790490363</v>
      </c>
      <c r="K27" s="42">
        <f t="shared" si="27"/>
        <v>-1337.1999790490363</v>
      </c>
      <c r="L27" s="42">
        <f t="shared" si="27"/>
        <v>-1087.1999790490363</v>
      </c>
      <c r="M27" s="42">
        <f t="shared" si="27"/>
        <v>-837.1999790490363</v>
      </c>
      <c r="N27" s="42">
        <f t="shared" si="27"/>
        <v>-587.1999790490363</v>
      </c>
      <c r="AE27" s="314" t="s">
        <v>18</v>
      </c>
      <c r="AF27" s="41">
        <f>AF28-0.5</f>
        <v>5</v>
      </c>
      <c r="AG27" s="42">
        <f>AG$13-($B$24/$E27)</f>
        <v>-1500.8259790490365</v>
      </c>
      <c r="AH27" s="42">
        <f t="shared" ref="AH27:AO31" si="28">AH$13-($B$24/$E27)</f>
        <v>-1250.8259790490365</v>
      </c>
      <c r="AI27" s="42">
        <f t="shared" si="28"/>
        <v>-1000.8259790490365</v>
      </c>
      <c r="AJ27" s="42">
        <f t="shared" si="28"/>
        <v>-750.8259790490365</v>
      </c>
      <c r="AK27" s="42">
        <f t="shared" si="28"/>
        <v>-500.8259790490365</v>
      </c>
      <c r="AL27" s="42">
        <f t="shared" si="28"/>
        <v>-250.8259790490365</v>
      </c>
      <c r="AM27" s="42">
        <f t="shared" si="28"/>
        <v>-0.82597904903650488</v>
      </c>
      <c r="AN27" s="42">
        <f t="shared" si="28"/>
        <v>249.1740209509635</v>
      </c>
      <c r="AO27" s="42">
        <f t="shared" si="28"/>
        <v>499.1740209509635</v>
      </c>
    </row>
    <row r="28" spans="1:41" ht="13.5" customHeight="1" thickBot="1" x14ac:dyDescent="0.3">
      <c r="A28" s="111" t="s">
        <v>19</v>
      </c>
      <c r="B28" s="113">
        <v>6</v>
      </c>
      <c r="C28" s="100"/>
      <c r="D28" s="315"/>
      <c r="E28" s="41">
        <f>E29-0.5</f>
        <v>5.5</v>
      </c>
      <c r="F28" s="42">
        <f>F$13-($B$26/$E28)</f>
        <v>-2100.1136173173063</v>
      </c>
      <c r="G28" s="42">
        <f t="shared" si="27"/>
        <v>-1850.1136173173063</v>
      </c>
      <c r="H28" s="42">
        <f t="shared" si="27"/>
        <v>-1600.1136173173063</v>
      </c>
      <c r="I28" s="42">
        <f t="shared" si="27"/>
        <v>-1350.1136173173063</v>
      </c>
      <c r="J28" s="42">
        <f t="shared" si="27"/>
        <v>-1100.1136173173063</v>
      </c>
      <c r="K28" s="42">
        <f t="shared" si="27"/>
        <v>-850.11361731730631</v>
      </c>
      <c r="L28" s="42">
        <f t="shared" si="27"/>
        <v>-600.11361731730631</v>
      </c>
      <c r="M28" s="42">
        <f t="shared" si="27"/>
        <v>-350.11361731730631</v>
      </c>
      <c r="N28" s="42">
        <f t="shared" si="27"/>
        <v>-100.11361731730631</v>
      </c>
      <c r="AE28" s="315"/>
      <c r="AF28" s="41">
        <f>AF29-0.5</f>
        <v>5.5</v>
      </c>
      <c r="AG28" s="42">
        <f>AG$13-($B$24/$E28)</f>
        <v>-1112.5008900445787</v>
      </c>
      <c r="AH28" s="42">
        <f t="shared" si="28"/>
        <v>-862.50089004457868</v>
      </c>
      <c r="AI28" s="42">
        <f t="shared" si="28"/>
        <v>-612.50089004457868</v>
      </c>
      <c r="AJ28" s="42">
        <f t="shared" si="28"/>
        <v>-362.50089004457868</v>
      </c>
      <c r="AK28" s="42">
        <f t="shared" si="28"/>
        <v>-112.50089004457868</v>
      </c>
      <c r="AL28" s="42">
        <f t="shared" si="28"/>
        <v>137.49910995542132</v>
      </c>
      <c r="AM28" s="42">
        <f t="shared" si="28"/>
        <v>387.49910995542132</v>
      </c>
      <c r="AN28" s="42">
        <f t="shared" si="28"/>
        <v>637.49910995542132</v>
      </c>
      <c r="AO28" s="42">
        <f t="shared" si="28"/>
        <v>887.49910995542132</v>
      </c>
    </row>
    <row r="29" spans="1:41" ht="13.5" customHeight="1" thickBot="1" x14ac:dyDescent="0.3">
      <c r="A29" s="111"/>
      <c r="B29" s="100"/>
      <c r="C29" s="100"/>
      <c r="D29" s="315"/>
      <c r="E29" s="50">
        <f>B28</f>
        <v>6</v>
      </c>
      <c r="F29" s="42">
        <f>F$13-($B$26/$E29)</f>
        <v>-1694.2083158741971</v>
      </c>
      <c r="G29" s="42">
        <f t="shared" si="27"/>
        <v>-1444.2083158741971</v>
      </c>
      <c r="H29" s="42">
        <f t="shared" si="27"/>
        <v>-1194.2083158741971</v>
      </c>
      <c r="I29" s="42">
        <f t="shared" si="27"/>
        <v>-944.20831587419707</v>
      </c>
      <c r="J29" s="42">
        <f t="shared" si="27"/>
        <v>-694.20831587419707</v>
      </c>
      <c r="K29" s="42">
        <f t="shared" si="27"/>
        <v>-444.20831587419707</v>
      </c>
      <c r="L29" s="42">
        <f t="shared" si="27"/>
        <v>-194.20831587419707</v>
      </c>
      <c r="M29" s="42">
        <f t="shared" si="27"/>
        <v>55.791684125802931</v>
      </c>
      <c r="N29" s="42">
        <f t="shared" si="27"/>
        <v>305.79168412580293</v>
      </c>
      <c r="AE29" s="315"/>
      <c r="AF29" s="50">
        <f>E29</f>
        <v>6</v>
      </c>
      <c r="AG29" s="42">
        <f>AG$13-($B$24/$E29)</f>
        <v>-788.89664920753057</v>
      </c>
      <c r="AH29" s="42">
        <f t="shared" si="28"/>
        <v>-538.89664920753057</v>
      </c>
      <c r="AI29" s="42">
        <f t="shared" si="28"/>
        <v>-288.89664920753057</v>
      </c>
      <c r="AJ29" s="42">
        <f t="shared" si="28"/>
        <v>-38.896649207530572</v>
      </c>
      <c r="AK29" s="42">
        <f t="shared" si="28"/>
        <v>211.10335079246943</v>
      </c>
      <c r="AL29" s="42">
        <f t="shared" si="28"/>
        <v>461.10335079246943</v>
      </c>
      <c r="AM29" s="42">
        <f t="shared" si="28"/>
        <v>711.10335079246943</v>
      </c>
      <c r="AN29" s="42">
        <f t="shared" si="28"/>
        <v>961.10335079246943</v>
      </c>
      <c r="AO29" s="42">
        <f t="shared" si="28"/>
        <v>1211.1033507924694</v>
      </c>
    </row>
    <row r="30" spans="1:41" ht="13.5" customHeight="1" thickBot="1" x14ac:dyDescent="0.3">
      <c r="A30" s="111" t="s">
        <v>148</v>
      </c>
      <c r="B30" s="124">
        <f>$B$4</f>
        <v>4177</v>
      </c>
      <c r="C30" s="100"/>
      <c r="D30" s="315"/>
      <c r="E30" s="41">
        <f>E29+0.5</f>
        <v>6.5</v>
      </c>
      <c r="F30" s="42">
        <f>F$13-($B$26/$E30)</f>
        <v>-1350.7499838838739</v>
      </c>
      <c r="G30" s="42">
        <f t="shared" si="27"/>
        <v>-1100.7499838838739</v>
      </c>
      <c r="H30" s="42">
        <f t="shared" si="27"/>
        <v>-850.74998388387394</v>
      </c>
      <c r="I30" s="42">
        <f t="shared" si="27"/>
        <v>-600.74998388387394</v>
      </c>
      <c r="J30" s="42">
        <f t="shared" si="27"/>
        <v>-350.74998388387394</v>
      </c>
      <c r="K30" s="42">
        <f t="shared" si="27"/>
        <v>-100.74998388387394</v>
      </c>
      <c r="L30" s="42">
        <f t="shared" si="27"/>
        <v>149.25001611612606</v>
      </c>
      <c r="M30" s="42">
        <f t="shared" si="27"/>
        <v>399.25001611612606</v>
      </c>
      <c r="N30" s="42">
        <f t="shared" si="27"/>
        <v>649.25001611612606</v>
      </c>
      <c r="AE30" s="315"/>
      <c r="AF30" s="41">
        <f>AF29+0.5</f>
        <v>6.5</v>
      </c>
      <c r="AG30" s="42">
        <f>AG$13-($B$24/$E30)</f>
        <v>-515.07767619156675</v>
      </c>
      <c r="AH30" s="42">
        <f t="shared" si="28"/>
        <v>-265.07767619156675</v>
      </c>
      <c r="AI30" s="42">
        <f t="shared" si="28"/>
        <v>-15.077676191566752</v>
      </c>
      <c r="AJ30" s="42">
        <f t="shared" si="28"/>
        <v>234.92232380843325</v>
      </c>
      <c r="AK30" s="42">
        <f t="shared" si="28"/>
        <v>484.92232380843325</v>
      </c>
      <c r="AL30" s="42">
        <f t="shared" si="28"/>
        <v>734.92232380843325</v>
      </c>
      <c r="AM30" s="42">
        <f t="shared" si="28"/>
        <v>984.92232380843325</v>
      </c>
      <c r="AN30" s="42">
        <f t="shared" si="28"/>
        <v>1234.9223238084332</v>
      </c>
      <c r="AO30" s="42">
        <f t="shared" si="28"/>
        <v>1484.9223238084332</v>
      </c>
    </row>
    <row r="31" spans="1:41" ht="13.5" customHeight="1" thickBot="1" x14ac:dyDescent="0.3">
      <c r="A31" s="114" t="s">
        <v>20</v>
      </c>
      <c r="B31" s="124">
        <f>'W-BT Mielies vermin till'!F33</f>
        <v>406.25</v>
      </c>
      <c r="C31" s="100"/>
      <c r="D31" s="316"/>
      <c r="E31" s="41">
        <f>E30+0.5</f>
        <v>7</v>
      </c>
      <c r="F31" s="42">
        <f>F$13-($B$26/$E31)</f>
        <v>-1056.357127892169</v>
      </c>
      <c r="G31" s="42">
        <f>G$13-($B$26/$E31)</f>
        <v>-806.35712789216905</v>
      </c>
      <c r="H31" s="42">
        <f t="shared" si="27"/>
        <v>-556.35712789216905</v>
      </c>
      <c r="I31" s="42">
        <f t="shared" si="27"/>
        <v>-306.35712789216905</v>
      </c>
      <c r="J31" s="42">
        <f t="shared" si="27"/>
        <v>-56.357127892169046</v>
      </c>
      <c r="K31" s="42">
        <f t="shared" si="27"/>
        <v>193.64287210783095</v>
      </c>
      <c r="L31" s="42">
        <f t="shared" si="27"/>
        <v>443.64287210783095</v>
      </c>
      <c r="M31" s="42">
        <f t="shared" si="27"/>
        <v>693.64287210783095</v>
      </c>
      <c r="N31" s="42">
        <f>N$13-($B$26/$E31)</f>
        <v>943.64287210783095</v>
      </c>
      <c r="AE31" s="316"/>
      <c r="AF31" s="41">
        <f>AF30+0.5</f>
        <v>7</v>
      </c>
      <c r="AG31" s="42">
        <f>AG$13-($B$24/$E31)</f>
        <v>-280.3756993207403</v>
      </c>
      <c r="AH31" s="42">
        <f>AH$13-($B$24/$E31)</f>
        <v>-30.375699320740296</v>
      </c>
      <c r="AI31" s="42">
        <f t="shared" si="28"/>
        <v>219.6243006792597</v>
      </c>
      <c r="AJ31" s="42">
        <f t="shared" si="28"/>
        <v>469.6243006792597</v>
      </c>
      <c r="AK31" s="42">
        <f t="shared" si="28"/>
        <v>719.6243006792597</v>
      </c>
      <c r="AL31" s="42">
        <f t="shared" si="28"/>
        <v>969.6243006792597</v>
      </c>
      <c r="AM31" s="42">
        <f t="shared" si="28"/>
        <v>1219.6243006792597</v>
      </c>
      <c r="AN31" s="42">
        <f t="shared" si="28"/>
        <v>1469.6243006792597</v>
      </c>
      <c r="AO31" s="42">
        <f t="shared" si="28"/>
        <v>1719.6243006792597</v>
      </c>
    </row>
    <row r="32" spans="1:41" ht="13.5" customHeight="1" x14ac:dyDescent="0.25">
      <c r="A32" s="102" t="s">
        <v>21</v>
      </c>
      <c r="B32" s="125">
        <f>B30-B31</f>
        <v>3770.75</v>
      </c>
      <c r="C32" s="100"/>
      <c r="D32" s="55"/>
      <c r="E32" s="56"/>
      <c r="F32" s="57"/>
      <c r="G32" s="57"/>
      <c r="H32" s="57"/>
      <c r="I32" s="57"/>
      <c r="J32" s="57"/>
      <c r="K32" s="57"/>
      <c r="L32" s="57"/>
      <c r="AE32" s="55"/>
      <c r="AF32" s="56"/>
      <c r="AG32" s="57"/>
      <c r="AH32" s="57"/>
      <c r="AI32" s="57"/>
      <c r="AJ32" s="57"/>
      <c r="AK32" s="57"/>
      <c r="AL32" s="57"/>
      <c r="AM32" s="57"/>
    </row>
    <row r="33" spans="1:41" ht="13.5" customHeight="1" x14ac:dyDescent="0.25">
      <c r="A33" s="102"/>
      <c r="B33" s="101"/>
      <c r="C33" s="100"/>
      <c r="D33" s="55"/>
      <c r="E33" s="56"/>
      <c r="F33" s="57"/>
      <c r="G33" s="57"/>
      <c r="H33" s="57"/>
      <c r="I33" s="57"/>
      <c r="J33" s="57"/>
      <c r="K33" s="57"/>
      <c r="L33" s="57"/>
      <c r="AE33" s="55"/>
      <c r="AF33" s="56"/>
      <c r="AG33" s="57"/>
      <c r="AH33" s="57"/>
      <c r="AI33" s="57"/>
      <c r="AJ33" s="57"/>
      <c r="AK33" s="57"/>
      <c r="AL33" s="57"/>
      <c r="AM33" s="57"/>
    </row>
    <row r="34" spans="1:41" ht="13.5" customHeight="1" x14ac:dyDescent="0.25">
      <c r="D34" s="55"/>
      <c r="E34" s="56"/>
      <c r="F34" s="57"/>
      <c r="G34" s="57"/>
      <c r="H34" s="57"/>
      <c r="I34" s="57"/>
      <c r="J34" s="57"/>
      <c r="K34" s="57"/>
      <c r="L34" s="57"/>
      <c r="AE34" s="55"/>
      <c r="AF34" s="56"/>
      <c r="AG34" s="57"/>
      <c r="AH34" s="57"/>
      <c r="AI34" s="57"/>
      <c r="AJ34" s="57"/>
      <c r="AK34" s="57"/>
      <c r="AL34" s="57"/>
      <c r="AM34" s="57"/>
    </row>
    <row r="35" spans="1:41" ht="13.5" customHeight="1" thickBot="1" x14ac:dyDescent="0.3">
      <c r="A35" s="321"/>
      <c r="B35" s="321"/>
    </row>
    <row r="36" spans="1:41" ht="19.5" customHeight="1" thickBot="1" x14ac:dyDescent="0.3">
      <c r="A36" s="122" t="s">
        <v>23</v>
      </c>
      <c r="B36" s="123"/>
      <c r="C36" s="99"/>
      <c r="D36" s="311" t="s">
        <v>24</v>
      </c>
      <c r="E36" s="312"/>
      <c r="F36" s="312"/>
      <c r="G36" s="312"/>
      <c r="H36" s="312"/>
      <c r="I36" s="312"/>
      <c r="J36" s="312"/>
      <c r="K36" s="312"/>
      <c r="L36" s="312"/>
      <c r="M36" s="312"/>
      <c r="N36" s="313"/>
      <c r="AE36" s="311" t="s">
        <v>25</v>
      </c>
      <c r="AF36" s="312"/>
      <c r="AG36" s="312"/>
      <c r="AH36" s="312"/>
      <c r="AI36" s="312"/>
      <c r="AJ36" s="312"/>
      <c r="AK36" s="312"/>
      <c r="AL36" s="312"/>
      <c r="AM36" s="312"/>
      <c r="AN36" s="312"/>
      <c r="AO36" s="313"/>
    </row>
    <row r="37" spans="1:41" ht="13.5" customHeight="1" thickBot="1" x14ac:dyDescent="0.3">
      <c r="A37" s="111" t="s">
        <v>12</v>
      </c>
      <c r="B37" s="124">
        <f>'Crop Comparison'!C28</f>
        <v>14968.440010214794</v>
      </c>
      <c r="C37" s="103"/>
      <c r="D37" s="31"/>
      <c r="E37" s="32"/>
      <c r="F37" s="33"/>
      <c r="G37" s="34"/>
      <c r="H37" s="33"/>
      <c r="I37" s="33"/>
      <c r="J37" s="33" t="s">
        <v>26</v>
      </c>
      <c r="K37" s="35"/>
      <c r="L37" s="33"/>
      <c r="M37" s="35"/>
      <c r="N37" s="33"/>
      <c r="AE37" s="31"/>
      <c r="AF37" s="32"/>
      <c r="AG37" s="33"/>
      <c r="AH37" s="34"/>
      <c r="AI37" s="33"/>
      <c r="AJ37" s="33"/>
      <c r="AK37" s="33" t="s">
        <v>26</v>
      </c>
      <c r="AL37" s="35"/>
      <c r="AM37" s="33"/>
      <c r="AN37" s="35"/>
      <c r="AO37" s="33"/>
    </row>
    <row r="38" spans="1:41" ht="13.5" customHeight="1" thickBot="1" x14ac:dyDescent="0.3">
      <c r="A38" s="111" t="s">
        <v>14</v>
      </c>
      <c r="B38" s="124">
        <f>'Crop Comparison'!C30</f>
        <v>7127.57</v>
      </c>
      <c r="C38" s="103"/>
      <c r="D38" s="311" t="s">
        <v>15</v>
      </c>
      <c r="E38" s="313"/>
      <c r="F38" s="36">
        <f>G38-200</f>
        <v>7545</v>
      </c>
      <c r="G38" s="36">
        <f>H38-200</f>
        <v>7745</v>
      </c>
      <c r="H38" s="36">
        <f>I38-200</f>
        <v>7945</v>
      </c>
      <c r="I38" s="36">
        <f>J38-200</f>
        <v>8145</v>
      </c>
      <c r="J38" s="37">
        <f>B43</f>
        <v>8345</v>
      </c>
      <c r="K38" s="36">
        <f>J38+200</f>
        <v>8545</v>
      </c>
      <c r="L38" s="36">
        <f>K38+200</f>
        <v>8745</v>
      </c>
      <c r="M38" s="36">
        <f>L38+200</f>
        <v>8945</v>
      </c>
      <c r="N38" s="36">
        <f>M38+200</f>
        <v>9145</v>
      </c>
      <c r="AE38" s="311" t="s">
        <v>15</v>
      </c>
      <c r="AF38" s="313"/>
      <c r="AG38" s="36">
        <f>AH38-200</f>
        <v>7545</v>
      </c>
      <c r="AH38" s="36">
        <f>AI38-200</f>
        <v>7745</v>
      </c>
      <c r="AI38" s="36">
        <f>AJ38-200</f>
        <v>7945</v>
      </c>
      <c r="AJ38" s="36">
        <f>AK38-200</f>
        <v>8145</v>
      </c>
      <c r="AK38" s="33">
        <f>J38</f>
        <v>8345</v>
      </c>
      <c r="AL38" s="36">
        <f>AK38+200</f>
        <v>8545</v>
      </c>
      <c r="AM38" s="36">
        <f>AL38+200</f>
        <v>8745</v>
      </c>
      <c r="AN38" s="36">
        <f>AM38+200</f>
        <v>8945</v>
      </c>
      <c r="AO38" s="36">
        <f>AN38+200</f>
        <v>9145</v>
      </c>
    </row>
    <row r="39" spans="1:41" ht="13.5" customHeight="1" thickBot="1" x14ac:dyDescent="0.3">
      <c r="A39" s="112" t="s">
        <v>16</v>
      </c>
      <c r="B39" s="125">
        <f>B38+B37</f>
        <v>22096.010010214792</v>
      </c>
      <c r="C39" s="104"/>
      <c r="D39" s="317" t="s">
        <v>17</v>
      </c>
      <c r="E39" s="318"/>
      <c r="F39" s="58">
        <f t="shared" ref="F39:N39" si="29">F38-$B$44</f>
        <v>7285.83</v>
      </c>
      <c r="G39" s="38">
        <f t="shared" si="29"/>
        <v>7485.83</v>
      </c>
      <c r="H39" s="38">
        <f t="shared" si="29"/>
        <v>7685.83</v>
      </c>
      <c r="I39" s="38">
        <f t="shared" si="29"/>
        <v>7885.83</v>
      </c>
      <c r="J39" s="40">
        <f t="shared" si="29"/>
        <v>8085.83</v>
      </c>
      <c r="K39" s="38">
        <f t="shared" si="29"/>
        <v>8285.83</v>
      </c>
      <c r="L39" s="38">
        <f t="shared" si="29"/>
        <v>8485.83</v>
      </c>
      <c r="M39" s="38">
        <f t="shared" si="29"/>
        <v>8685.83</v>
      </c>
      <c r="N39" s="38">
        <f t="shared" si="29"/>
        <v>8885.83</v>
      </c>
      <c r="AE39" s="317" t="s">
        <v>17</v>
      </c>
      <c r="AF39" s="318"/>
      <c r="AG39" s="38">
        <f t="shared" ref="AG39:AO39" si="30">AG38-$B$44</f>
        <v>7285.83</v>
      </c>
      <c r="AH39" s="38">
        <f t="shared" si="30"/>
        <v>7485.83</v>
      </c>
      <c r="AI39" s="38">
        <f t="shared" si="30"/>
        <v>7685.83</v>
      </c>
      <c r="AJ39" s="38">
        <f t="shared" si="30"/>
        <v>7885.83</v>
      </c>
      <c r="AK39" s="40">
        <f t="shared" si="30"/>
        <v>8085.83</v>
      </c>
      <c r="AL39" s="38">
        <f t="shared" si="30"/>
        <v>8285.83</v>
      </c>
      <c r="AM39" s="38">
        <f t="shared" si="30"/>
        <v>8485.83</v>
      </c>
      <c r="AN39" s="38">
        <f t="shared" si="30"/>
        <v>8685.83</v>
      </c>
      <c r="AO39" s="38">
        <f t="shared" si="30"/>
        <v>8885.83</v>
      </c>
    </row>
    <row r="40" spans="1:41" ht="13.5" customHeight="1" thickBot="1" x14ac:dyDescent="0.3">
      <c r="A40" s="111"/>
      <c r="B40" s="100"/>
      <c r="C40" s="105"/>
      <c r="D40" s="314" t="s">
        <v>18</v>
      </c>
      <c r="E40" s="41">
        <f>E41-0.25</f>
        <v>1.7000000000000002</v>
      </c>
      <c r="F40" s="42">
        <f>F$39-($B$39/$E40)</f>
        <v>-5711.8229471851701</v>
      </c>
      <c r="G40" s="43">
        <f t="shared" ref="F40:N44" si="31">G$39-($B$39/$E40)</f>
        <v>-5511.8229471851701</v>
      </c>
      <c r="H40" s="43">
        <f t="shared" si="31"/>
        <v>-5311.8229471851701</v>
      </c>
      <c r="I40" s="43">
        <f t="shared" si="31"/>
        <v>-5111.8229471851701</v>
      </c>
      <c r="J40" s="43">
        <f t="shared" si="31"/>
        <v>-4911.8229471851701</v>
      </c>
      <c r="K40" s="43">
        <f t="shared" si="31"/>
        <v>-4711.8229471851701</v>
      </c>
      <c r="L40" s="43">
        <f t="shared" si="31"/>
        <v>-4511.8229471851701</v>
      </c>
      <c r="M40" s="44">
        <f t="shared" si="31"/>
        <v>-4311.8229471851701</v>
      </c>
      <c r="N40" s="45">
        <f t="shared" si="31"/>
        <v>-4111.8229471851701</v>
      </c>
      <c r="AE40" s="314" t="s">
        <v>18</v>
      </c>
      <c r="AF40" s="41">
        <f>AF41-0.25</f>
        <v>1.7000000000000002</v>
      </c>
      <c r="AG40" s="42">
        <f>AG$39-($B$37/$E40)</f>
        <v>-1519.1347118910544</v>
      </c>
      <c r="AH40" s="42">
        <f t="shared" ref="AH40:AO40" si="32">AH$39-($B$37/$E40)</f>
        <v>-1319.1347118910544</v>
      </c>
      <c r="AI40" s="42">
        <f t="shared" si="32"/>
        <v>-1119.1347118910544</v>
      </c>
      <c r="AJ40" s="42">
        <f t="shared" si="32"/>
        <v>-919.13471189105439</v>
      </c>
      <c r="AK40" s="42">
        <f t="shared" si="32"/>
        <v>-719.13471189105439</v>
      </c>
      <c r="AL40" s="42">
        <f t="shared" si="32"/>
        <v>-519.13471189105439</v>
      </c>
      <c r="AM40" s="42">
        <f t="shared" si="32"/>
        <v>-319.13471189105439</v>
      </c>
      <c r="AN40" s="42">
        <f t="shared" si="32"/>
        <v>-119.13471189105439</v>
      </c>
      <c r="AO40" s="42">
        <f t="shared" si="32"/>
        <v>80.865288108945606</v>
      </c>
    </row>
    <row r="41" spans="1:41" ht="13.5" customHeight="1" thickBot="1" x14ac:dyDescent="0.3">
      <c r="A41" s="111" t="s">
        <v>19</v>
      </c>
      <c r="B41" s="113">
        <v>2.2000000000000002</v>
      </c>
      <c r="C41" s="106"/>
      <c r="D41" s="315"/>
      <c r="E41" s="41">
        <f>E42-0.25</f>
        <v>1.9500000000000002</v>
      </c>
      <c r="F41" s="46">
        <f t="shared" si="31"/>
        <v>-4045.4571847255338</v>
      </c>
      <c r="G41" s="47">
        <f t="shared" si="31"/>
        <v>-3845.4571847255338</v>
      </c>
      <c r="H41" s="47">
        <f t="shared" si="31"/>
        <v>-3645.4571847255338</v>
      </c>
      <c r="I41" s="47">
        <f t="shared" si="31"/>
        <v>-3445.4571847255338</v>
      </c>
      <c r="J41" s="47">
        <f t="shared" si="31"/>
        <v>-3245.4571847255338</v>
      </c>
      <c r="K41" s="48">
        <f t="shared" si="31"/>
        <v>-3045.4571847255338</v>
      </c>
      <c r="L41" s="48">
        <f t="shared" si="31"/>
        <v>-2845.4571847255338</v>
      </c>
      <c r="M41" s="48">
        <f t="shared" si="31"/>
        <v>-2645.4571847255338</v>
      </c>
      <c r="N41" s="49">
        <f t="shared" si="31"/>
        <v>-2445.4571847255338</v>
      </c>
      <c r="AE41" s="315"/>
      <c r="AF41" s="41">
        <f>AF42-0.25</f>
        <v>1.9500000000000002</v>
      </c>
      <c r="AG41" s="42">
        <f t="shared" ref="AG41:AO44" si="33">AG$39-($B$37/$E41)</f>
        <v>-390.29308216143181</v>
      </c>
      <c r="AH41" s="42">
        <f t="shared" si="33"/>
        <v>-190.29308216143181</v>
      </c>
      <c r="AI41" s="42">
        <f t="shared" si="33"/>
        <v>9.706917838568188</v>
      </c>
      <c r="AJ41" s="42">
        <f t="shared" si="33"/>
        <v>209.70691783856819</v>
      </c>
      <c r="AK41" s="42">
        <f t="shared" si="33"/>
        <v>409.70691783856819</v>
      </c>
      <c r="AL41" s="42">
        <f t="shared" si="33"/>
        <v>609.70691783856819</v>
      </c>
      <c r="AM41" s="42">
        <f t="shared" si="33"/>
        <v>809.70691783856819</v>
      </c>
      <c r="AN41" s="42">
        <f t="shared" si="33"/>
        <v>1009.7069178385682</v>
      </c>
      <c r="AO41" s="42">
        <f t="shared" si="33"/>
        <v>1209.7069178385682</v>
      </c>
    </row>
    <row r="42" spans="1:41" ht="13.5" customHeight="1" thickBot="1" x14ac:dyDescent="0.3">
      <c r="A42" s="111"/>
      <c r="B42" s="100"/>
      <c r="C42" s="105"/>
      <c r="D42" s="315"/>
      <c r="E42" s="127">
        <f>B41</f>
        <v>2.2000000000000002</v>
      </c>
      <c r="F42" s="46">
        <f t="shared" si="31"/>
        <v>-2757.8109137339961</v>
      </c>
      <c r="G42" s="47">
        <f t="shared" si="31"/>
        <v>-2557.8109137339961</v>
      </c>
      <c r="H42" s="47">
        <f t="shared" si="31"/>
        <v>-2357.8109137339961</v>
      </c>
      <c r="I42" s="47">
        <f t="shared" si="31"/>
        <v>-2157.8109137339961</v>
      </c>
      <c r="J42" s="48">
        <f t="shared" si="31"/>
        <v>-1957.8109137339961</v>
      </c>
      <c r="K42" s="48">
        <f t="shared" si="31"/>
        <v>-1757.8109137339961</v>
      </c>
      <c r="L42" s="48">
        <f t="shared" si="31"/>
        <v>-1557.8109137339961</v>
      </c>
      <c r="M42" s="48">
        <f t="shared" si="31"/>
        <v>-1357.8109137339961</v>
      </c>
      <c r="N42" s="49">
        <f t="shared" si="31"/>
        <v>-1157.8109137339961</v>
      </c>
      <c r="AE42" s="315"/>
      <c r="AF42" s="50">
        <f>E42</f>
        <v>2.2000000000000002</v>
      </c>
      <c r="AG42" s="42">
        <f>AG$39-($B$37/$E42)</f>
        <v>481.99363172054836</v>
      </c>
      <c r="AH42" s="42">
        <f t="shared" si="33"/>
        <v>681.99363172054836</v>
      </c>
      <c r="AI42" s="42">
        <f t="shared" si="33"/>
        <v>881.99363172054836</v>
      </c>
      <c r="AJ42" s="42">
        <f t="shared" si="33"/>
        <v>1081.9936317205484</v>
      </c>
      <c r="AK42" s="42">
        <f t="shared" si="33"/>
        <v>1281.9936317205484</v>
      </c>
      <c r="AL42" s="42">
        <f t="shared" si="33"/>
        <v>1481.9936317205484</v>
      </c>
      <c r="AM42" s="42">
        <f t="shared" si="33"/>
        <v>1681.9936317205484</v>
      </c>
      <c r="AN42" s="42">
        <f t="shared" si="33"/>
        <v>1881.9936317205484</v>
      </c>
      <c r="AO42" s="42">
        <f t="shared" si="33"/>
        <v>2081.9936317205484</v>
      </c>
    </row>
    <row r="43" spans="1:41" ht="13.5" customHeight="1" thickBot="1" x14ac:dyDescent="0.3">
      <c r="A43" s="111" t="s">
        <v>149</v>
      </c>
      <c r="B43" s="124">
        <f>B5</f>
        <v>8345</v>
      </c>
      <c r="C43" s="105"/>
      <c r="D43" s="315"/>
      <c r="E43" s="41">
        <f>E42+0.25</f>
        <v>2.4500000000000002</v>
      </c>
      <c r="F43" s="46">
        <f t="shared" si="31"/>
        <v>-1732.9495960060376</v>
      </c>
      <c r="G43" s="47">
        <f t="shared" si="31"/>
        <v>-1532.9495960060376</v>
      </c>
      <c r="H43" s="47">
        <f t="shared" si="31"/>
        <v>-1332.9495960060376</v>
      </c>
      <c r="I43" s="48">
        <f t="shared" si="31"/>
        <v>-1132.9495960060376</v>
      </c>
      <c r="J43" s="48">
        <f t="shared" si="31"/>
        <v>-932.94959600603761</v>
      </c>
      <c r="K43" s="48">
        <f t="shared" si="31"/>
        <v>-732.94959600603761</v>
      </c>
      <c r="L43" s="48">
        <f t="shared" si="31"/>
        <v>-532.94959600603761</v>
      </c>
      <c r="M43" s="48">
        <f t="shared" si="31"/>
        <v>-332.94959600603761</v>
      </c>
      <c r="N43" s="49">
        <f t="shared" si="31"/>
        <v>-132.94959600603761</v>
      </c>
      <c r="AE43" s="315"/>
      <c r="AF43" s="41">
        <f>AF42+0.25</f>
        <v>2.4500000000000002</v>
      </c>
      <c r="AG43" s="42">
        <f t="shared" si="33"/>
        <v>1176.2626488919213</v>
      </c>
      <c r="AH43" s="42">
        <f t="shared" si="33"/>
        <v>1376.2626488919213</v>
      </c>
      <c r="AI43" s="42">
        <f t="shared" si="33"/>
        <v>1576.2626488919213</v>
      </c>
      <c r="AJ43" s="42">
        <f t="shared" si="33"/>
        <v>1776.2626488919213</v>
      </c>
      <c r="AK43" s="42">
        <f t="shared" si="33"/>
        <v>1976.2626488919213</v>
      </c>
      <c r="AL43" s="42">
        <f t="shared" si="33"/>
        <v>2176.2626488919213</v>
      </c>
      <c r="AM43" s="42">
        <f t="shared" si="33"/>
        <v>2376.2626488919213</v>
      </c>
      <c r="AN43" s="42">
        <f t="shared" si="33"/>
        <v>2576.2626488919213</v>
      </c>
      <c r="AO43" s="42">
        <f t="shared" si="33"/>
        <v>2776.2626488919213</v>
      </c>
    </row>
    <row r="44" spans="1:41" ht="13.5" customHeight="1" thickBot="1" x14ac:dyDescent="0.3">
      <c r="A44" s="114" t="s">
        <v>20</v>
      </c>
      <c r="B44" s="124">
        <f>Sojabone!F34</f>
        <v>259.17</v>
      </c>
      <c r="C44" s="107"/>
      <c r="D44" s="316"/>
      <c r="E44" s="41">
        <f>E43+0.25</f>
        <v>2.7</v>
      </c>
      <c r="F44" s="51">
        <f t="shared" si="31"/>
        <v>-897.87741119066322</v>
      </c>
      <c r="G44" s="52">
        <f>G$39-($B$39/$E44)</f>
        <v>-697.87741119066322</v>
      </c>
      <c r="H44" s="53">
        <f t="shared" si="31"/>
        <v>-497.87741119066322</v>
      </c>
      <c r="I44" s="53">
        <f t="shared" si="31"/>
        <v>-297.87741119066322</v>
      </c>
      <c r="J44" s="53">
        <f t="shared" si="31"/>
        <v>-97.877411190663224</v>
      </c>
      <c r="K44" s="53">
        <f t="shared" si="31"/>
        <v>102.12258880933678</v>
      </c>
      <c r="L44" s="53">
        <f t="shared" si="31"/>
        <v>302.12258880933678</v>
      </c>
      <c r="M44" s="53">
        <f>M$39-($B$39/$E44)</f>
        <v>502.12258880933678</v>
      </c>
      <c r="N44" s="54">
        <f>N$39-($B$39/$E44)</f>
        <v>702.12258880933678</v>
      </c>
      <c r="AE44" s="316"/>
      <c r="AF44" s="41">
        <f>AF43+0.25</f>
        <v>2.7</v>
      </c>
      <c r="AG44" s="42">
        <f t="shared" si="33"/>
        <v>1741.9633295500771</v>
      </c>
      <c r="AH44" s="42">
        <f>AH$39-($B$37/$E44)</f>
        <v>1941.9633295500771</v>
      </c>
      <c r="AI44" s="42">
        <f t="shared" si="33"/>
        <v>2141.9633295500771</v>
      </c>
      <c r="AJ44" s="42">
        <f t="shared" si="33"/>
        <v>2341.9633295500771</v>
      </c>
      <c r="AK44" s="42">
        <f t="shared" si="33"/>
        <v>2541.9633295500771</v>
      </c>
      <c r="AL44" s="42">
        <f t="shared" si="33"/>
        <v>2741.9633295500771</v>
      </c>
      <c r="AM44" s="42">
        <f t="shared" si="33"/>
        <v>2941.9633295500771</v>
      </c>
      <c r="AN44" s="42">
        <f t="shared" si="33"/>
        <v>3141.9633295500771</v>
      </c>
      <c r="AO44" s="42">
        <f t="shared" si="33"/>
        <v>3341.9633295500771</v>
      </c>
    </row>
    <row r="45" spans="1:41" ht="13.5" customHeight="1" x14ac:dyDescent="0.25">
      <c r="A45" s="102" t="s">
        <v>21</v>
      </c>
      <c r="B45" s="125">
        <f>B43-B44</f>
        <v>8085.83</v>
      </c>
      <c r="C45" s="107"/>
    </row>
    <row r="46" spans="1:41" ht="13.5" customHeight="1" x14ac:dyDescent="0.25"/>
    <row r="47" spans="1:41" ht="13.5" customHeight="1" x14ac:dyDescent="0.25"/>
    <row r="48" spans="1:41" ht="31.5" customHeight="1" thickBot="1" x14ac:dyDescent="0.3">
      <c r="A48" s="320"/>
      <c r="B48" s="320"/>
    </row>
    <row r="49" spans="1:41" ht="19.5" customHeight="1" thickBot="1" x14ac:dyDescent="0.3">
      <c r="A49" s="122" t="s">
        <v>27</v>
      </c>
      <c r="B49" s="123"/>
      <c r="C49" s="99"/>
      <c r="D49" s="311" t="s">
        <v>24</v>
      </c>
      <c r="E49" s="312"/>
      <c r="F49" s="312"/>
      <c r="G49" s="312"/>
      <c r="H49" s="312"/>
      <c r="I49" s="312"/>
      <c r="J49" s="312"/>
      <c r="K49" s="312"/>
      <c r="L49" s="312"/>
      <c r="M49" s="312"/>
      <c r="N49" s="313"/>
      <c r="AE49" s="311" t="s">
        <v>25</v>
      </c>
      <c r="AF49" s="312"/>
      <c r="AG49" s="312"/>
      <c r="AH49" s="312"/>
      <c r="AI49" s="312"/>
      <c r="AJ49" s="312"/>
      <c r="AK49" s="312"/>
      <c r="AL49" s="312"/>
      <c r="AM49" s="312"/>
      <c r="AN49" s="312"/>
      <c r="AO49" s="313"/>
    </row>
    <row r="50" spans="1:41" ht="13.5" customHeight="1" thickBot="1" x14ac:dyDescent="0.3">
      <c r="A50" s="111" t="s">
        <v>12</v>
      </c>
      <c r="B50" s="124">
        <f>'Sojabone Vermin bewerk'!F26</f>
        <v>14454.815865009106</v>
      </c>
      <c r="C50" s="103"/>
      <c r="D50" s="31"/>
      <c r="E50" s="32"/>
      <c r="F50" s="33"/>
      <c r="G50" s="34"/>
      <c r="H50" s="33"/>
      <c r="I50" s="33"/>
      <c r="J50" s="33" t="s">
        <v>26</v>
      </c>
      <c r="K50" s="35"/>
      <c r="L50" s="33"/>
      <c r="M50" s="35"/>
      <c r="N50" s="33"/>
      <c r="AE50" s="31"/>
      <c r="AF50" s="32"/>
      <c r="AG50" s="33"/>
      <c r="AH50" s="34"/>
      <c r="AI50" s="33"/>
      <c r="AJ50" s="33"/>
      <c r="AK50" s="33" t="s">
        <v>26</v>
      </c>
      <c r="AL50" s="35"/>
      <c r="AM50" s="33"/>
      <c r="AN50" s="35"/>
      <c r="AO50" s="33"/>
    </row>
    <row r="51" spans="1:41" ht="13.5" customHeight="1" thickBot="1" x14ac:dyDescent="0.3">
      <c r="A51" s="111" t="s">
        <v>14</v>
      </c>
      <c r="B51" s="124">
        <f>'Sojabone Vermin bewerk'!F28</f>
        <v>4159.01</v>
      </c>
      <c r="C51" s="103"/>
      <c r="D51" s="311" t="s">
        <v>15</v>
      </c>
      <c r="E51" s="313"/>
      <c r="F51" s="36">
        <f>G51-200</f>
        <v>7545</v>
      </c>
      <c r="G51" s="36">
        <f>H51-200</f>
        <v>7745</v>
      </c>
      <c r="H51" s="36">
        <f>I51-200</f>
        <v>7945</v>
      </c>
      <c r="I51" s="36">
        <f>J51-200</f>
        <v>8145</v>
      </c>
      <c r="J51" s="37">
        <f>B56</f>
        <v>8345</v>
      </c>
      <c r="K51" s="36">
        <f>J51+200</f>
        <v>8545</v>
      </c>
      <c r="L51" s="36">
        <f>K51+200</f>
        <v>8745</v>
      </c>
      <c r="M51" s="36">
        <f>L51+200</f>
        <v>8945</v>
      </c>
      <c r="N51" s="36">
        <f>M51+200</f>
        <v>9145</v>
      </c>
      <c r="AE51" s="311" t="s">
        <v>15</v>
      </c>
      <c r="AF51" s="313"/>
      <c r="AG51" s="36">
        <f>AH51-200</f>
        <v>7545</v>
      </c>
      <c r="AH51" s="36">
        <f>AI51-200</f>
        <v>7745</v>
      </c>
      <c r="AI51" s="36">
        <f>AJ51-200</f>
        <v>7945</v>
      </c>
      <c r="AJ51" s="36">
        <f>AK51-200</f>
        <v>8145</v>
      </c>
      <c r="AK51" s="37">
        <f>J51</f>
        <v>8345</v>
      </c>
      <c r="AL51" s="36">
        <f>AK51+200</f>
        <v>8545</v>
      </c>
      <c r="AM51" s="36">
        <f>AL51+200</f>
        <v>8745</v>
      </c>
      <c r="AN51" s="36">
        <f>AM51+200</f>
        <v>8945</v>
      </c>
      <c r="AO51" s="36">
        <f>AN51+200</f>
        <v>9145</v>
      </c>
    </row>
    <row r="52" spans="1:41" ht="13.5" customHeight="1" thickBot="1" x14ac:dyDescent="0.3">
      <c r="A52" s="112" t="s">
        <v>16</v>
      </c>
      <c r="B52" s="125">
        <f>B51+B50</f>
        <v>18613.825865009108</v>
      </c>
      <c r="C52" s="104"/>
      <c r="D52" s="317" t="s">
        <v>17</v>
      </c>
      <c r="E52" s="318"/>
      <c r="F52" s="58">
        <f>F51-$B$44</f>
        <v>7285.83</v>
      </c>
      <c r="G52" s="38">
        <f t="shared" ref="G52:N52" si="34">G51-$B$44</f>
        <v>7485.83</v>
      </c>
      <c r="H52" s="38">
        <f t="shared" si="34"/>
        <v>7685.83</v>
      </c>
      <c r="I52" s="38">
        <f t="shared" si="34"/>
        <v>7885.83</v>
      </c>
      <c r="J52" s="40">
        <f t="shared" si="34"/>
        <v>8085.83</v>
      </c>
      <c r="K52" s="38">
        <f t="shared" si="34"/>
        <v>8285.83</v>
      </c>
      <c r="L52" s="38">
        <f t="shared" si="34"/>
        <v>8485.83</v>
      </c>
      <c r="M52" s="38">
        <f t="shared" si="34"/>
        <v>8685.83</v>
      </c>
      <c r="N52" s="38">
        <f t="shared" si="34"/>
        <v>8885.83</v>
      </c>
      <c r="AE52" s="317" t="s">
        <v>17</v>
      </c>
      <c r="AF52" s="318"/>
      <c r="AG52" s="38">
        <f t="shared" ref="AG52:AO52" si="35">AG51-$B$44</f>
        <v>7285.83</v>
      </c>
      <c r="AH52" s="38">
        <f t="shared" si="35"/>
        <v>7485.83</v>
      </c>
      <c r="AI52" s="38">
        <f t="shared" si="35"/>
        <v>7685.83</v>
      </c>
      <c r="AJ52" s="38">
        <f t="shared" si="35"/>
        <v>7885.83</v>
      </c>
      <c r="AK52" s="85">
        <f>AK51-$B$44</f>
        <v>8085.83</v>
      </c>
      <c r="AL52" s="38">
        <f t="shared" si="35"/>
        <v>8285.83</v>
      </c>
      <c r="AM52" s="38">
        <f t="shared" si="35"/>
        <v>8485.83</v>
      </c>
      <c r="AN52" s="38">
        <f t="shared" si="35"/>
        <v>8685.83</v>
      </c>
      <c r="AO52" s="38">
        <f t="shared" si="35"/>
        <v>8885.83</v>
      </c>
    </row>
    <row r="53" spans="1:41" ht="13.5" customHeight="1" thickBot="1" x14ac:dyDescent="0.3">
      <c r="A53" s="111"/>
      <c r="B53" s="100"/>
      <c r="C53" s="105"/>
      <c r="D53" s="314" t="s">
        <v>18</v>
      </c>
      <c r="E53" s="41">
        <f>E54-0.25</f>
        <v>1.5</v>
      </c>
      <c r="F53" s="42">
        <f>F$39-($B$52/$E53)</f>
        <v>-5123.3872433394063</v>
      </c>
      <c r="G53" s="42">
        <f t="shared" ref="G53:N57" si="36">G$39-($B$52/$E53)</f>
        <v>-4923.3872433394063</v>
      </c>
      <c r="H53" s="42">
        <f t="shared" si="36"/>
        <v>-4723.3872433394063</v>
      </c>
      <c r="I53" s="42">
        <f t="shared" si="36"/>
        <v>-4523.3872433394063</v>
      </c>
      <c r="J53" s="42">
        <f t="shared" si="36"/>
        <v>-4323.3872433394063</v>
      </c>
      <c r="K53" s="42">
        <f t="shared" si="36"/>
        <v>-4123.3872433394063</v>
      </c>
      <c r="L53" s="42">
        <f t="shared" si="36"/>
        <v>-3923.3872433394063</v>
      </c>
      <c r="M53" s="42">
        <f t="shared" si="36"/>
        <v>-3723.3872433394063</v>
      </c>
      <c r="N53" s="42">
        <f t="shared" si="36"/>
        <v>-3523.3872433394063</v>
      </c>
      <c r="AE53" s="314" t="s">
        <v>18</v>
      </c>
      <c r="AF53" s="41">
        <f>AF54-0.25</f>
        <v>1.5</v>
      </c>
      <c r="AG53" s="42">
        <f>AG$39-($B$50/$E53)</f>
        <v>-2350.7139100060704</v>
      </c>
      <c r="AH53" s="42">
        <f t="shared" ref="AH53:AO57" si="37">AH$39-($B$50/$E53)</f>
        <v>-2150.7139100060704</v>
      </c>
      <c r="AI53" s="42">
        <f t="shared" si="37"/>
        <v>-1950.7139100060704</v>
      </c>
      <c r="AJ53" s="42">
        <f t="shared" si="37"/>
        <v>-1750.7139100060704</v>
      </c>
      <c r="AK53" s="42">
        <f t="shared" si="37"/>
        <v>-1550.7139100060704</v>
      </c>
      <c r="AL53" s="42">
        <f t="shared" si="37"/>
        <v>-1350.7139100060704</v>
      </c>
      <c r="AM53" s="42">
        <f t="shared" si="37"/>
        <v>-1150.7139100060704</v>
      </c>
      <c r="AN53" s="42">
        <f t="shared" si="37"/>
        <v>-950.71391000607036</v>
      </c>
      <c r="AO53" s="42">
        <f t="shared" si="37"/>
        <v>-750.71391000607036</v>
      </c>
    </row>
    <row r="54" spans="1:41" ht="13.5" customHeight="1" thickBot="1" x14ac:dyDescent="0.3">
      <c r="A54" s="111" t="s">
        <v>19</v>
      </c>
      <c r="B54" s="113">
        <f>'Sojabone verminderde bewerking'!F5</f>
        <v>2</v>
      </c>
      <c r="C54" s="106"/>
      <c r="D54" s="315"/>
      <c r="E54" s="41">
        <f>E55-0.25</f>
        <v>1.75</v>
      </c>
      <c r="F54" s="42">
        <f>F$39-($B$52/$E54)</f>
        <v>-3350.6419228623472</v>
      </c>
      <c r="G54" s="42">
        <f t="shared" si="36"/>
        <v>-3150.6419228623472</v>
      </c>
      <c r="H54" s="42">
        <f t="shared" si="36"/>
        <v>-2950.6419228623472</v>
      </c>
      <c r="I54" s="42">
        <f t="shared" si="36"/>
        <v>-2750.6419228623472</v>
      </c>
      <c r="J54" s="42">
        <f t="shared" si="36"/>
        <v>-2550.6419228623472</v>
      </c>
      <c r="K54" s="42">
        <f t="shared" si="36"/>
        <v>-2350.6419228623472</v>
      </c>
      <c r="L54" s="42">
        <f t="shared" si="36"/>
        <v>-2150.6419228623472</v>
      </c>
      <c r="M54" s="42">
        <f t="shared" si="36"/>
        <v>-1950.6419228623472</v>
      </c>
      <c r="N54" s="42">
        <f t="shared" si="36"/>
        <v>-1750.6419228623472</v>
      </c>
      <c r="AE54" s="315"/>
      <c r="AF54" s="41">
        <f>AF55-0.25</f>
        <v>1.75</v>
      </c>
      <c r="AG54" s="42">
        <f>AG$39-($B$50/$E54)</f>
        <v>-974.06478000520292</v>
      </c>
      <c r="AH54" s="42">
        <f t="shared" si="37"/>
        <v>-774.06478000520292</v>
      </c>
      <c r="AI54" s="42">
        <f t="shared" si="37"/>
        <v>-574.06478000520292</v>
      </c>
      <c r="AJ54" s="42">
        <f t="shared" si="37"/>
        <v>-374.06478000520292</v>
      </c>
      <c r="AK54" s="42">
        <f t="shared" si="37"/>
        <v>-174.06478000520292</v>
      </c>
      <c r="AL54" s="42">
        <f t="shared" si="37"/>
        <v>25.93521999479708</v>
      </c>
      <c r="AM54" s="42">
        <f t="shared" si="37"/>
        <v>225.93521999479708</v>
      </c>
      <c r="AN54" s="42">
        <f t="shared" si="37"/>
        <v>425.93521999479708</v>
      </c>
      <c r="AO54" s="42">
        <f t="shared" si="37"/>
        <v>625.93521999479708</v>
      </c>
    </row>
    <row r="55" spans="1:41" ht="13.5" customHeight="1" thickBot="1" x14ac:dyDescent="0.3">
      <c r="A55" s="111"/>
      <c r="B55" s="100"/>
      <c r="C55" s="105"/>
      <c r="D55" s="315"/>
      <c r="E55" s="50">
        <f>B54</f>
        <v>2</v>
      </c>
      <c r="F55" s="42">
        <f>F$39-($B$52/$E55)</f>
        <v>-2021.0829325045543</v>
      </c>
      <c r="G55" s="42">
        <f t="shared" si="36"/>
        <v>-1821.0829325045543</v>
      </c>
      <c r="H55" s="42">
        <f t="shared" si="36"/>
        <v>-1621.0829325045543</v>
      </c>
      <c r="I55" s="42">
        <f t="shared" si="36"/>
        <v>-1421.0829325045543</v>
      </c>
      <c r="J55" s="42">
        <f t="shared" si="36"/>
        <v>-1221.0829325045543</v>
      </c>
      <c r="K55" s="42">
        <f t="shared" si="36"/>
        <v>-1021.0829325045543</v>
      </c>
      <c r="L55" s="42">
        <f t="shared" si="36"/>
        <v>-821.08293250455426</v>
      </c>
      <c r="M55" s="42">
        <f t="shared" si="36"/>
        <v>-621.08293250455426</v>
      </c>
      <c r="N55" s="42">
        <f t="shared" si="36"/>
        <v>-421.08293250455426</v>
      </c>
      <c r="AE55" s="315"/>
      <c r="AF55" s="50">
        <f>E55</f>
        <v>2</v>
      </c>
      <c r="AG55" s="42">
        <f>AG$39-($B$50/$E55)</f>
        <v>58.422067495446754</v>
      </c>
      <c r="AH55" s="42">
        <f t="shared" si="37"/>
        <v>258.42206749544675</v>
      </c>
      <c r="AI55" s="42">
        <f t="shared" si="37"/>
        <v>458.42206749544675</v>
      </c>
      <c r="AJ55" s="42">
        <f t="shared" si="37"/>
        <v>658.42206749544675</v>
      </c>
      <c r="AK55" s="42">
        <f t="shared" si="37"/>
        <v>858.42206749544675</v>
      </c>
      <c r="AL55" s="42">
        <f t="shared" si="37"/>
        <v>1058.4220674954468</v>
      </c>
      <c r="AM55" s="42">
        <f t="shared" si="37"/>
        <v>1258.4220674954468</v>
      </c>
      <c r="AN55" s="42">
        <f t="shared" si="37"/>
        <v>1458.4220674954468</v>
      </c>
      <c r="AO55" s="42">
        <f t="shared" si="37"/>
        <v>1658.4220674954468</v>
      </c>
    </row>
    <row r="56" spans="1:41" ht="13.5" customHeight="1" thickBot="1" x14ac:dyDescent="0.3">
      <c r="A56" s="111" t="s">
        <v>149</v>
      </c>
      <c r="B56" s="124">
        <f>B5</f>
        <v>8345</v>
      </c>
      <c r="C56" s="105"/>
      <c r="D56" s="315"/>
      <c r="E56" s="41">
        <f>E55+0.25</f>
        <v>2.25</v>
      </c>
      <c r="F56" s="42">
        <f>F$39-($B$52/$E56)</f>
        <v>-986.98149555960299</v>
      </c>
      <c r="G56" s="42">
        <f t="shared" si="36"/>
        <v>-786.98149555960299</v>
      </c>
      <c r="H56" s="42">
        <f t="shared" si="36"/>
        <v>-586.98149555960299</v>
      </c>
      <c r="I56" s="42">
        <f t="shared" si="36"/>
        <v>-386.98149555960299</v>
      </c>
      <c r="J56" s="42">
        <f t="shared" si="36"/>
        <v>-186.98149555960299</v>
      </c>
      <c r="K56" s="42">
        <f t="shared" si="36"/>
        <v>13.01850444039701</v>
      </c>
      <c r="L56" s="42">
        <f t="shared" si="36"/>
        <v>213.01850444039701</v>
      </c>
      <c r="M56" s="42">
        <f t="shared" si="36"/>
        <v>413.01850444039701</v>
      </c>
      <c r="N56" s="42">
        <f t="shared" si="36"/>
        <v>613.01850444039701</v>
      </c>
      <c r="AE56" s="315"/>
      <c r="AF56" s="41">
        <f>AF55+0.25</f>
        <v>2.25</v>
      </c>
      <c r="AG56" s="42">
        <f>AG$39-($B$50/$E56)</f>
        <v>861.4673933292861</v>
      </c>
      <c r="AH56" s="42">
        <f t="shared" si="37"/>
        <v>1061.4673933292861</v>
      </c>
      <c r="AI56" s="42">
        <f t="shared" si="37"/>
        <v>1261.4673933292861</v>
      </c>
      <c r="AJ56" s="42">
        <f t="shared" si="37"/>
        <v>1461.4673933292861</v>
      </c>
      <c r="AK56" s="42">
        <f t="shared" si="37"/>
        <v>1661.4673933292861</v>
      </c>
      <c r="AL56" s="42">
        <f t="shared" si="37"/>
        <v>1861.4673933292861</v>
      </c>
      <c r="AM56" s="42">
        <f t="shared" si="37"/>
        <v>2061.4673933292861</v>
      </c>
      <c r="AN56" s="42">
        <f t="shared" si="37"/>
        <v>2261.4673933292861</v>
      </c>
      <c r="AO56" s="42">
        <f t="shared" si="37"/>
        <v>2461.4673933292861</v>
      </c>
    </row>
    <row r="57" spans="1:41" ht="13.5" customHeight="1" thickBot="1" x14ac:dyDescent="0.3">
      <c r="A57" s="114" t="s">
        <v>20</v>
      </c>
      <c r="B57" s="124">
        <f>'Sojabone verminderde bewerking'!F33</f>
        <v>259.17</v>
      </c>
      <c r="C57" s="107"/>
      <c r="D57" s="316"/>
      <c r="E57" s="41">
        <f>E56+0.25</f>
        <v>2.5</v>
      </c>
      <c r="F57" s="42">
        <f>F$39-($B$52/$E57)</f>
        <v>-159.70034600364306</v>
      </c>
      <c r="G57" s="42">
        <f>G$39-($B$52/$E57)</f>
        <v>40.299653996356938</v>
      </c>
      <c r="H57" s="42">
        <f t="shared" si="36"/>
        <v>240.29965399635694</v>
      </c>
      <c r="I57" s="42">
        <f t="shared" si="36"/>
        <v>440.29965399635694</v>
      </c>
      <c r="J57" s="42">
        <f t="shared" si="36"/>
        <v>640.29965399635694</v>
      </c>
      <c r="K57" s="42">
        <f t="shared" si="36"/>
        <v>840.29965399635694</v>
      </c>
      <c r="L57" s="42">
        <f t="shared" si="36"/>
        <v>1040.2996539963569</v>
      </c>
      <c r="M57" s="42">
        <f t="shared" si="36"/>
        <v>1240.2996539963569</v>
      </c>
      <c r="N57" s="42">
        <f>N$39-($B$52/$E57)</f>
        <v>1440.2996539963569</v>
      </c>
      <c r="AE57" s="316"/>
      <c r="AF57" s="41">
        <f>AF56+0.25</f>
        <v>2.5</v>
      </c>
      <c r="AG57" s="42">
        <f>AG$39-($B$50/$E57)</f>
        <v>1503.9036539963572</v>
      </c>
      <c r="AH57" s="42">
        <f>AH$39-($B$50/$E57)</f>
        <v>1703.9036539963572</v>
      </c>
      <c r="AI57" s="42">
        <f t="shared" si="37"/>
        <v>1903.9036539963572</v>
      </c>
      <c r="AJ57" s="42">
        <f t="shared" si="37"/>
        <v>2103.9036539963572</v>
      </c>
      <c r="AK57" s="42">
        <f t="shared" si="37"/>
        <v>2303.9036539963572</v>
      </c>
      <c r="AL57" s="42">
        <f t="shared" si="37"/>
        <v>2503.9036539963572</v>
      </c>
      <c r="AM57" s="42">
        <f t="shared" si="37"/>
        <v>2703.9036539963572</v>
      </c>
      <c r="AN57" s="42">
        <f t="shared" si="37"/>
        <v>2903.9036539963572</v>
      </c>
      <c r="AO57" s="42">
        <f t="shared" si="37"/>
        <v>3103.9036539963572</v>
      </c>
    </row>
    <row r="58" spans="1:41" ht="13.5" customHeight="1" x14ac:dyDescent="0.25">
      <c r="A58" s="102" t="s">
        <v>21</v>
      </c>
      <c r="B58" s="125">
        <f>B56-B57</f>
        <v>8085.83</v>
      </c>
      <c r="C58" s="107"/>
    </row>
    <row r="61" spans="1:41" ht="13.5" customHeight="1" thickBot="1" x14ac:dyDescent="0.3">
      <c r="A61" s="115"/>
    </row>
    <row r="62" spans="1:41" ht="19.5" customHeight="1" thickBot="1" x14ac:dyDescent="0.3">
      <c r="A62" s="122" t="s">
        <v>28</v>
      </c>
      <c r="B62" s="123"/>
      <c r="C62" s="99"/>
      <c r="D62" s="311" t="s">
        <v>29</v>
      </c>
      <c r="E62" s="312"/>
      <c r="F62" s="312"/>
      <c r="G62" s="312"/>
      <c r="H62" s="312"/>
      <c r="I62" s="312"/>
      <c r="J62" s="312"/>
      <c r="K62" s="312"/>
      <c r="L62" s="312"/>
      <c r="M62" s="312"/>
      <c r="N62" s="313"/>
      <c r="AE62" s="311" t="s">
        <v>30</v>
      </c>
      <c r="AF62" s="312"/>
      <c r="AG62" s="312"/>
      <c r="AH62" s="312"/>
      <c r="AI62" s="312"/>
      <c r="AJ62" s="312"/>
      <c r="AK62" s="312"/>
      <c r="AL62" s="312"/>
      <c r="AM62" s="312"/>
      <c r="AN62" s="312"/>
      <c r="AO62" s="313"/>
    </row>
    <row r="63" spans="1:41" ht="13.5" customHeight="1" thickBot="1" x14ac:dyDescent="0.3">
      <c r="A63" s="111" t="s">
        <v>12</v>
      </c>
      <c r="B63" s="124">
        <f>Graansorghum!E26</f>
        <v>13871.910538882501</v>
      </c>
      <c r="C63" s="103"/>
      <c r="D63" s="31"/>
      <c r="E63" s="32"/>
      <c r="F63" s="33"/>
      <c r="G63" s="34"/>
      <c r="H63" s="33"/>
      <c r="I63" s="33"/>
      <c r="J63" s="33" t="s">
        <v>26</v>
      </c>
      <c r="K63" s="35"/>
      <c r="L63" s="33"/>
      <c r="M63" s="35"/>
      <c r="N63" s="33"/>
      <c r="AE63" s="31"/>
      <c r="AF63" s="32"/>
      <c r="AG63" s="33"/>
      <c r="AH63" s="34"/>
      <c r="AI63" s="33"/>
      <c r="AJ63" s="33"/>
      <c r="AK63" s="33" t="s">
        <v>26</v>
      </c>
      <c r="AL63" s="35"/>
      <c r="AM63" s="33"/>
      <c r="AN63" s="35"/>
      <c r="AO63" s="33"/>
    </row>
    <row r="64" spans="1:41" ht="13.5" customHeight="1" thickBot="1" x14ac:dyDescent="0.3">
      <c r="A64" s="111" t="s">
        <v>14</v>
      </c>
      <c r="B64" s="124">
        <f>Graansorghum!E28</f>
        <v>7495.0700000000006</v>
      </c>
      <c r="C64" s="103"/>
      <c r="D64" s="311" t="s">
        <v>15</v>
      </c>
      <c r="E64" s="313"/>
      <c r="F64" s="36">
        <f>G64-200</f>
        <v>2700</v>
      </c>
      <c r="G64" s="36">
        <f>H64-200</f>
        <v>2900</v>
      </c>
      <c r="H64" s="36">
        <f>I64-200</f>
        <v>3100</v>
      </c>
      <c r="I64" s="36">
        <f>J64-200</f>
        <v>3300</v>
      </c>
      <c r="J64" s="37">
        <f>B69</f>
        <v>3500</v>
      </c>
      <c r="K64" s="36">
        <f>J64+200</f>
        <v>3700</v>
      </c>
      <c r="L64" s="36">
        <f>K64+200</f>
        <v>3900</v>
      </c>
      <c r="M64" s="36">
        <f>L64+200</f>
        <v>4100</v>
      </c>
      <c r="N64" s="36">
        <f>M64+200</f>
        <v>4300</v>
      </c>
      <c r="AE64" s="311" t="s">
        <v>15</v>
      </c>
      <c r="AF64" s="313"/>
      <c r="AG64" s="36">
        <f>AH64-200</f>
        <v>2700</v>
      </c>
      <c r="AH64" s="36">
        <f>AI64-200</f>
        <v>2900</v>
      </c>
      <c r="AI64" s="36">
        <f>AJ64-200</f>
        <v>3100</v>
      </c>
      <c r="AJ64" s="36">
        <f>AK64-200</f>
        <v>3300</v>
      </c>
      <c r="AK64" s="37">
        <f>J64</f>
        <v>3500</v>
      </c>
      <c r="AL64" s="36">
        <f>AK64+200</f>
        <v>3700</v>
      </c>
      <c r="AM64" s="36">
        <f>AL64+200</f>
        <v>3900</v>
      </c>
      <c r="AN64" s="36">
        <f>AM64+200</f>
        <v>4100</v>
      </c>
      <c r="AO64" s="36">
        <f>AN64+200</f>
        <v>4300</v>
      </c>
    </row>
    <row r="65" spans="1:41" ht="13.5" customHeight="1" thickBot="1" x14ac:dyDescent="0.3">
      <c r="A65" s="112" t="s">
        <v>16</v>
      </c>
      <c r="B65" s="125">
        <f>B64+B63</f>
        <v>21366.980538882501</v>
      </c>
      <c r="C65" s="104"/>
      <c r="D65" s="317" t="s">
        <v>17</v>
      </c>
      <c r="E65" s="318"/>
      <c r="F65" s="58">
        <f>F64-$B$70</f>
        <v>2607.75</v>
      </c>
      <c r="G65" s="58">
        <f t="shared" ref="G65:N65" si="38">G64-$B$70</f>
        <v>2807.75</v>
      </c>
      <c r="H65" s="58">
        <f t="shared" si="38"/>
        <v>3007.75</v>
      </c>
      <c r="I65" s="58">
        <f t="shared" si="38"/>
        <v>3207.75</v>
      </c>
      <c r="J65" s="58">
        <f>J64-$B$70</f>
        <v>3407.75</v>
      </c>
      <c r="K65" s="58">
        <f t="shared" si="38"/>
        <v>3607.75</v>
      </c>
      <c r="L65" s="58">
        <f t="shared" si="38"/>
        <v>3807.75</v>
      </c>
      <c r="M65" s="58">
        <f t="shared" si="38"/>
        <v>4007.75</v>
      </c>
      <c r="N65" s="58">
        <f t="shared" si="38"/>
        <v>4207.75</v>
      </c>
      <c r="AE65" s="317" t="s">
        <v>17</v>
      </c>
      <c r="AF65" s="318"/>
      <c r="AG65" s="58">
        <f t="shared" ref="AG65:AO65" si="39">AG64-$B$70</f>
        <v>2607.75</v>
      </c>
      <c r="AH65" s="58">
        <f t="shared" si="39"/>
        <v>2807.75</v>
      </c>
      <c r="AI65" s="58">
        <f t="shared" si="39"/>
        <v>3007.75</v>
      </c>
      <c r="AJ65" s="58">
        <f t="shared" si="39"/>
        <v>3207.75</v>
      </c>
      <c r="AK65" s="58">
        <f t="shared" si="39"/>
        <v>3407.75</v>
      </c>
      <c r="AL65" s="58">
        <f t="shared" si="39"/>
        <v>3607.75</v>
      </c>
      <c r="AM65" s="58">
        <f t="shared" si="39"/>
        <v>3807.75</v>
      </c>
      <c r="AN65" s="58">
        <f t="shared" si="39"/>
        <v>4007.75</v>
      </c>
      <c r="AO65" s="58">
        <f t="shared" si="39"/>
        <v>4207.75</v>
      </c>
    </row>
    <row r="66" spans="1:41" ht="13.5" customHeight="1" thickBot="1" x14ac:dyDescent="0.3">
      <c r="A66" s="111"/>
      <c r="B66" s="100"/>
      <c r="C66" s="105"/>
      <c r="D66" s="314" t="s">
        <v>18</v>
      </c>
      <c r="E66" s="41">
        <f>E67-0.5</f>
        <v>2.2000000000000002</v>
      </c>
      <c r="F66" s="42">
        <f t="shared" ref="F66:N70" si="40">F$65-($B$65/$E66)</f>
        <v>-7104.5138813102276</v>
      </c>
      <c r="G66" s="42">
        <f t="shared" si="40"/>
        <v>-6904.5138813102276</v>
      </c>
      <c r="H66" s="42">
        <f t="shared" si="40"/>
        <v>-6704.5138813102276</v>
      </c>
      <c r="I66" s="42">
        <f t="shared" si="40"/>
        <v>-6504.5138813102276</v>
      </c>
      <c r="J66" s="42">
        <f t="shared" si="40"/>
        <v>-6304.5138813102276</v>
      </c>
      <c r="K66" s="42">
        <f t="shared" si="40"/>
        <v>-6104.5138813102276</v>
      </c>
      <c r="L66" s="42">
        <f t="shared" si="40"/>
        <v>-5904.5138813102276</v>
      </c>
      <c r="M66" s="42">
        <f t="shared" si="40"/>
        <v>-5704.5138813102276</v>
      </c>
      <c r="N66" s="42">
        <f t="shared" si="40"/>
        <v>-5504.5138813102276</v>
      </c>
      <c r="AE66" s="314" t="s">
        <v>18</v>
      </c>
      <c r="AF66" s="41">
        <f>AF67-0.5</f>
        <v>2.2000000000000002</v>
      </c>
      <c r="AG66" s="42">
        <f t="shared" ref="AG66:AO70" si="41">AG$65-($B$63/$E66)</f>
        <v>-3697.6638813102272</v>
      </c>
      <c r="AH66" s="42">
        <f t="shared" si="41"/>
        <v>-3497.6638813102272</v>
      </c>
      <c r="AI66" s="42">
        <f t="shared" si="41"/>
        <v>-3297.6638813102272</v>
      </c>
      <c r="AJ66" s="42">
        <f t="shared" si="41"/>
        <v>-3097.6638813102272</v>
      </c>
      <c r="AK66" s="42">
        <f t="shared" si="41"/>
        <v>-2897.6638813102272</v>
      </c>
      <c r="AL66" s="42">
        <f t="shared" si="41"/>
        <v>-2697.6638813102272</v>
      </c>
      <c r="AM66" s="42">
        <f t="shared" si="41"/>
        <v>-2497.6638813102272</v>
      </c>
      <c r="AN66" s="42">
        <f t="shared" si="41"/>
        <v>-2297.6638813102272</v>
      </c>
      <c r="AO66" s="42">
        <f t="shared" si="41"/>
        <v>-2097.6638813102272</v>
      </c>
    </row>
    <row r="67" spans="1:41" ht="13.5" customHeight="1" thickBot="1" x14ac:dyDescent="0.3">
      <c r="A67" s="111" t="s">
        <v>19</v>
      </c>
      <c r="B67" s="113">
        <v>3.2</v>
      </c>
      <c r="C67" s="106"/>
      <c r="D67" s="315"/>
      <c r="E67" s="41">
        <f>E68-0.5</f>
        <v>2.7</v>
      </c>
      <c r="F67" s="42">
        <f t="shared" si="40"/>
        <v>-5305.9464958824074</v>
      </c>
      <c r="G67" s="42">
        <f t="shared" si="40"/>
        <v>-5105.9464958824074</v>
      </c>
      <c r="H67" s="42">
        <f t="shared" si="40"/>
        <v>-4905.9464958824074</v>
      </c>
      <c r="I67" s="42">
        <f t="shared" si="40"/>
        <v>-4705.9464958824074</v>
      </c>
      <c r="J67" s="42">
        <f t="shared" si="40"/>
        <v>-4505.9464958824074</v>
      </c>
      <c r="K67" s="42">
        <f t="shared" si="40"/>
        <v>-4305.9464958824074</v>
      </c>
      <c r="L67" s="42">
        <f t="shared" si="40"/>
        <v>-4105.9464958824074</v>
      </c>
      <c r="M67" s="42">
        <f t="shared" si="40"/>
        <v>-3905.9464958824074</v>
      </c>
      <c r="N67" s="42">
        <f t="shared" si="40"/>
        <v>-3705.9464958824074</v>
      </c>
      <c r="AE67" s="315"/>
      <c r="AF67" s="41">
        <f>AF68-0.5</f>
        <v>2.7</v>
      </c>
      <c r="AG67" s="42">
        <f t="shared" si="41"/>
        <v>-2529.9946440305557</v>
      </c>
      <c r="AH67" s="42">
        <f t="shared" si="41"/>
        <v>-2329.9946440305557</v>
      </c>
      <c r="AI67" s="42">
        <f t="shared" si="41"/>
        <v>-2129.9946440305557</v>
      </c>
      <c r="AJ67" s="42">
        <f t="shared" si="41"/>
        <v>-1929.9946440305557</v>
      </c>
      <c r="AK67" s="42">
        <f t="shared" si="41"/>
        <v>-1729.9946440305557</v>
      </c>
      <c r="AL67" s="42">
        <f t="shared" si="41"/>
        <v>-1529.9946440305557</v>
      </c>
      <c r="AM67" s="42">
        <f t="shared" si="41"/>
        <v>-1329.9946440305557</v>
      </c>
      <c r="AN67" s="42">
        <f t="shared" si="41"/>
        <v>-1129.9946440305557</v>
      </c>
      <c r="AO67" s="42">
        <f t="shared" si="41"/>
        <v>-929.99464403055572</v>
      </c>
    </row>
    <row r="68" spans="1:41" ht="13.5" customHeight="1" thickBot="1" x14ac:dyDescent="0.3">
      <c r="A68" s="111"/>
      <c r="B68" s="100"/>
      <c r="C68" s="105"/>
      <c r="D68" s="315"/>
      <c r="E68" s="50">
        <f>B67</f>
        <v>3.2</v>
      </c>
      <c r="F68" s="42">
        <f t="shared" si="40"/>
        <v>-4069.4314184007808</v>
      </c>
      <c r="G68" s="42">
        <f t="shared" si="40"/>
        <v>-3869.4314184007808</v>
      </c>
      <c r="H68" s="42">
        <f t="shared" si="40"/>
        <v>-3669.4314184007808</v>
      </c>
      <c r="I68" s="42">
        <f t="shared" si="40"/>
        <v>-3469.4314184007808</v>
      </c>
      <c r="J68" s="42">
        <f t="shared" si="40"/>
        <v>-3269.4314184007808</v>
      </c>
      <c r="K68" s="42">
        <f t="shared" si="40"/>
        <v>-3069.4314184007808</v>
      </c>
      <c r="L68" s="42">
        <f t="shared" si="40"/>
        <v>-2869.4314184007808</v>
      </c>
      <c r="M68" s="42">
        <f t="shared" si="40"/>
        <v>-2669.4314184007808</v>
      </c>
      <c r="N68" s="42">
        <f t="shared" si="40"/>
        <v>-2469.4314184007808</v>
      </c>
      <c r="AE68" s="315"/>
      <c r="AF68" s="50">
        <f>E68</f>
        <v>3.2</v>
      </c>
      <c r="AG68" s="42">
        <f t="shared" si="41"/>
        <v>-1727.2220434007813</v>
      </c>
      <c r="AH68" s="42">
        <f t="shared" si="41"/>
        <v>-1527.2220434007813</v>
      </c>
      <c r="AI68" s="42">
        <f t="shared" si="41"/>
        <v>-1327.2220434007813</v>
      </c>
      <c r="AJ68" s="42">
        <f t="shared" si="41"/>
        <v>-1127.2220434007813</v>
      </c>
      <c r="AK68" s="42">
        <f t="shared" si="41"/>
        <v>-927.22204340078133</v>
      </c>
      <c r="AL68" s="42">
        <f t="shared" si="41"/>
        <v>-727.22204340078133</v>
      </c>
      <c r="AM68" s="42">
        <f t="shared" si="41"/>
        <v>-527.22204340078133</v>
      </c>
      <c r="AN68" s="42">
        <f t="shared" si="41"/>
        <v>-327.22204340078133</v>
      </c>
      <c r="AO68" s="42">
        <f t="shared" si="41"/>
        <v>-127.22204340078133</v>
      </c>
    </row>
    <row r="69" spans="1:41" ht="13.5" customHeight="1" thickBot="1" x14ac:dyDescent="0.3">
      <c r="A69" s="111" t="s">
        <v>150</v>
      </c>
      <c r="B69" s="124">
        <f>B6</f>
        <v>3500</v>
      </c>
      <c r="C69" s="105"/>
      <c r="D69" s="315"/>
      <c r="E69" s="41">
        <f>E68+0.5</f>
        <v>3.7</v>
      </c>
      <c r="F69" s="42">
        <f t="shared" si="40"/>
        <v>-3167.1096051033783</v>
      </c>
      <c r="G69" s="42">
        <f t="shared" si="40"/>
        <v>-2967.1096051033783</v>
      </c>
      <c r="H69" s="42">
        <f t="shared" si="40"/>
        <v>-2767.1096051033783</v>
      </c>
      <c r="I69" s="42">
        <f t="shared" si="40"/>
        <v>-2567.1096051033783</v>
      </c>
      <c r="J69" s="42">
        <f t="shared" si="40"/>
        <v>-2367.1096051033783</v>
      </c>
      <c r="K69" s="42">
        <f t="shared" si="40"/>
        <v>-2167.1096051033783</v>
      </c>
      <c r="L69" s="42">
        <f t="shared" si="40"/>
        <v>-1967.1096051033783</v>
      </c>
      <c r="M69" s="42">
        <f t="shared" si="40"/>
        <v>-1767.1096051033783</v>
      </c>
      <c r="N69" s="42">
        <f t="shared" si="40"/>
        <v>-1567.1096051033783</v>
      </c>
      <c r="AE69" s="315"/>
      <c r="AF69" s="41">
        <f>AF68+0.5</f>
        <v>3.7</v>
      </c>
      <c r="AG69" s="42">
        <f t="shared" si="41"/>
        <v>-1141.4150105087838</v>
      </c>
      <c r="AH69" s="42">
        <f t="shared" si="41"/>
        <v>-941.41501050878378</v>
      </c>
      <c r="AI69" s="42">
        <f t="shared" si="41"/>
        <v>-741.41501050878378</v>
      </c>
      <c r="AJ69" s="42">
        <f t="shared" si="41"/>
        <v>-541.41501050878378</v>
      </c>
      <c r="AK69" s="42">
        <f t="shared" si="41"/>
        <v>-341.41501050878378</v>
      </c>
      <c r="AL69" s="42">
        <f t="shared" si="41"/>
        <v>-141.41501050878378</v>
      </c>
      <c r="AM69" s="42">
        <f t="shared" si="41"/>
        <v>58.58498949121622</v>
      </c>
      <c r="AN69" s="42">
        <f t="shared" si="41"/>
        <v>258.58498949121622</v>
      </c>
      <c r="AO69" s="42">
        <f t="shared" si="41"/>
        <v>458.58498949121622</v>
      </c>
    </row>
    <row r="70" spans="1:41" ht="13.5" customHeight="1" thickBot="1" x14ac:dyDescent="0.3">
      <c r="A70" s="114" t="s">
        <v>20</v>
      </c>
      <c r="B70" s="124">
        <f>D6</f>
        <v>92.25</v>
      </c>
      <c r="C70" s="107"/>
      <c r="D70" s="316"/>
      <c r="E70" s="41">
        <f>E69+0.5</f>
        <v>4.2</v>
      </c>
      <c r="F70" s="42">
        <f>F$65-($B$65/$E70)</f>
        <v>-2479.6263187815475</v>
      </c>
      <c r="G70" s="42">
        <f t="shared" si="40"/>
        <v>-2279.6263187815475</v>
      </c>
      <c r="H70" s="42">
        <f t="shared" si="40"/>
        <v>-2079.6263187815475</v>
      </c>
      <c r="I70" s="42">
        <f t="shared" si="40"/>
        <v>-1879.6263187815475</v>
      </c>
      <c r="J70" s="42">
        <f t="shared" si="40"/>
        <v>-1679.6263187815475</v>
      </c>
      <c r="K70" s="42">
        <f t="shared" si="40"/>
        <v>-1479.6263187815475</v>
      </c>
      <c r="L70" s="42">
        <f t="shared" si="40"/>
        <v>-1279.6263187815475</v>
      </c>
      <c r="M70" s="42">
        <f t="shared" si="40"/>
        <v>-1079.6263187815475</v>
      </c>
      <c r="N70" s="42">
        <f>N$65-($B$65/$E70)</f>
        <v>-879.62631878154752</v>
      </c>
      <c r="AE70" s="316"/>
      <c r="AF70" s="41">
        <f>AF69+0.5</f>
        <v>4.2</v>
      </c>
      <c r="AG70" s="42">
        <f>AG$65-($B$63/$E70)</f>
        <v>-695.08584259107147</v>
      </c>
      <c r="AH70" s="42">
        <f t="shared" si="41"/>
        <v>-495.08584259107147</v>
      </c>
      <c r="AI70" s="42">
        <f t="shared" si="41"/>
        <v>-295.08584259107147</v>
      </c>
      <c r="AJ70" s="42">
        <f t="shared" si="41"/>
        <v>-95.085842591071469</v>
      </c>
      <c r="AK70" s="42">
        <f t="shared" si="41"/>
        <v>104.91415740892853</v>
      </c>
      <c r="AL70" s="42">
        <f t="shared" si="41"/>
        <v>304.91415740892853</v>
      </c>
      <c r="AM70" s="42">
        <f t="shared" si="41"/>
        <v>504.91415740892853</v>
      </c>
      <c r="AN70" s="42">
        <f t="shared" si="41"/>
        <v>704.91415740892853</v>
      </c>
      <c r="AO70" s="42">
        <f t="shared" si="41"/>
        <v>904.91415740892853</v>
      </c>
    </row>
    <row r="71" spans="1:41" ht="13.5" customHeight="1" x14ac:dyDescent="0.25">
      <c r="A71" s="102" t="s">
        <v>21</v>
      </c>
      <c r="B71" s="125">
        <f>B69-B70</f>
        <v>3407.75</v>
      </c>
      <c r="C71" s="107"/>
    </row>
  </sheetData>
  <sheetProtection selectLockedCells="1"/>
  <mergeCells count="48">
    <mergeCell ref="A48:B48"/>
    <mergeCell ref="D27:D31"/>
    <mergeCell ref="D36:N36"/>
    <mergeCell ref="D66:D70"/>
    <mergeCell ref="AE66:AE70"/>
    <mergeCell ref="D62:N62"/>
    <mergeCell ref="AE62:AO62"/>
    <mergeCell ref="D64:E64"/>
    <mergeCell ref="AE64:AF64"/>
    <mergeCell ref="D65:E65"/>
    <mergeCell ref="AE65:AF65"/>
    <mergeCell ref="D39:E39"/>
    <mergeCell ref="AE39:AF39"/>
    <mergeCell ref="D53:D57"/>
    <mergeCell ref="AE53:AE57"/>
    <mergeCell ref="D49:N49"/>
    <mergeCell ref="P10:Z10"/>
    <mergeCell ref="A9:B9"/>
    <mergeCell ref="A22:B22"/>
    <mergeCell ref="A35:B35"/>
    <mergeCell ref="AE27:AE31"/>
    <mergeCell ref="D10:N10"/>
    <mergeCell ref="AE10:AO10"/>
    <mergeCell ref="D12:E12"/>
    <mergeCell ref="AE12:AF12"/>
    <mergeCell ref="D13:E13"/>
    <mergeCell ref="AE13:AF13"/>
    <mergeCell ref="D23:N23"/>
    <mergeCell ref="AE23:AO23"/>
    <mergeCell ref="D14:D18"/>
    <mergeCell ref="AE14:AE18"/>
    <mergeCell ref="D25:E25"/>
    <mergeCell ref="AE25:AF25"/>
    <mergeCell ref="D26:E26"/>
    <mergeCell ref="P12:Q12"/>
    <mergeCell ref="P13:Q13"/>
    <mergeCell ref="P14:P18"/>
    <mergeCell ref="AE26:AF26"/>
    <mergeCell ref="AE49:AO49"/>
    <mergeCell ref="D51:E51"/>
    <mergeCell ref="AE51:AF51"/>
    <mergeCell ref="D52:E52"/>
    <mergeCell ref="AE52:AF52"/>
    <mergeCell ref="AE36:AO36"/>
    <mergeCell ref="D38:E38"/>
    <mergeCell ref="AE38:AF38"/>
    <mergeCell ref="D40:D44"/>
    <mergeCell ref="AE40:AE44"/>
  </mergeCells>
  <conditionalFormatting sqref="F14:N18">
    <cfRule type="cellIs" dxfId="43" priority="54" stopIfTrue="1" operator="greaterThan">
      <formula>1</formula>
    </cfRule>
    <cfRule type="cellIs" dxfId="42" priority="53" stopIfTrue="1" operator="lessThan">
      <formula>1</formula>
    </cfRule>
    <cfRule type="cellIs" dxfId="41" priority="56" stopIfTrue="1" operator="greaterThan">
      <formula>1</formula>
    </cfRule>
    <cfRule type="cellIs" dxfId="40" priority="55" stopIfTrue="1" operator="lessThan">
      <formula>1</formula>
    </cfRule>
  </conditionalFormatting>
  <conditionalFormatting sqref="F27:N31">
    <cfRule type="cellIs" dxfId="39" priority="21" stopIfTrue="1" operator="lessThan">
      <formula>1</formula>
    </cfRule>
    <cfRule type="cellIs" dxfId="38" priority="22" stopIfTrue="1" operator="greaterThan">
      <formula>1</formula>
    </cfRule>
    <cfRule type="cellIs" dxfId="37" priority="23" stopIfTrue="1" operator="lessThan">
      <formula>1</formula>
    </cfRule>
    <cfRule type="cellIs" dxfId="36" priority="24" stopIfTrue="1" operator="greaterThan">
      <formula>1</formula>
    </cfRule>
  </conditionalFormatting>
  <conditionalFormatting sqref="F40:N44">
    <cfRule type="cellIs" dxfId="35" priority="52" stopIfTrue="1" operator="greaterThan">
      <formula>1</formula>
    </cfRule>
    <cfRule type="cellIs" dxfId="34" priority="50" stopIfTrue="1" operator="greaterThan">
      <formula>1</formula>
    </cfRule>
    <cfRule type="cellIs" dxfId="33" priority="51" stopIfTrue="1" operator="lessThan">
      <formula>1</formula>
    </cfRule>
    <cfRule type="cellIs" dxfId="32" priority="49" stopIfTrue="1" operator="lessThan">
      <formula>1</formula>
    </cfRule>
  </conditionalFormatting>
  <conditionalFormatting sqref="F53:N57">
    <cfRule type="cellIs" dxfId="31" priority="30" stopIfTrue="1" operator="greaterThan">
      <formula>1</formula>
    </cfRule>
    <cfRule type="cellIs" dxfId="30" priority="31" stopIfTrue="1" operator="lessThan">
      <formula>1</formula>
    </cfRule>
    <cfRule type="cellIs" dxfId="29" priority="32" stopIfTrue="1" operator="greaterThan">
      <formula>1</formula>
    </cfRule>
    <cfRule type="cellIs" dxfId="28" priority="29" stopIfTrue="1" operator="lessThan">
      <formula>1</formula>
    </cfRule>
  </conditionalFormatting>
  <conditionalFormatting sqref="F66:N70">
    <cfRule type="cellIs" dxfId="27" priority="15" stopIfTrue="1" operator="lessThan">
      <formula>1</formula>
    </cfRule>
    <cfRule type="cellIs" dxfId="26" priority="13" stopIfTrue="1" operator="lessThan">
      <formula>1</formula>
    </cfRule>
    <cfRule type="cellIs" dxfId="25" priority="14" stopIfTrue="1" operator="greaterThan">
      <formula>1</formula>
    </cfRule>
    <cfRule type="cellIs" dxfId="24" priority="16" stopIfTrue="1" operator="greaterThan">
      <formula>1</formula>
    </cfRule>
  </conditionalFormatting>
  <conditionalFormatting sqref="R14:Z18">
    <cfRule type="cellIs" dxfId="23" priority="2" stopIfTrue="1" operator="greaterThan">
      <formula>1</formula>
    </cfRule>
    <cfRule type="cellIs" dxfId="22" priority="3" stopIfTrue="1" operator="lessThan">
      <formula>1</formula>
    </cfRule>
    <cfRule type="cellIs" dxfId="21" priority="4" stopIfTrue="1" operator="greaterThan">
      <formula>1</formula>
    </cfRule>
    <cfRule type="cellIs" dxfId="20" priority="1" stopIfTrue="1" operator="lessThan">
      <formula>1</formula>
    </cfRule>
  </conditionalFormatting>
  <conditionalFormatting sqref="AG14:AO18">
    <cfRule type="cellIs" dxfId="19" priority="45" stopIfTrue="1" operator="lessThan">
      <formula>1</formula>
    </cfRule>
    <cfRule type="cellIs" dxfId="18" priority="47" stopIfTrue="1" operator="lessThan">
      <formula>1</formula>
    </cfRule>
    <cfRule type="cellIs" dxfId="17" priority="48" stopIfTrue="1" operator="greaterThan">
      <formula>1</formula>
    </cfRule>
    <cfRule type="cellIs" dxfId="16" priority="46" stopIfTrue="1" operator="greaterThan">
      <formula>1</formula>
    </cfRule>
  </conditionalFormatting>
  <conditionalFormatting sqref="AG27:AO31">
    <cfRule type="cellIs" dxfId="15" priority="20" stopIfTrue="1" operator="greaterThan">
      <formula>1</formula>
    </cfRule>
    <cfRule type="cellIs" dxfId="14" priority="19" stopIfTrue="1" operator="lessThan">
      <formula>1</formula>
    </cfRule>
    <cfRule type="cellIs" dxfId="13" priority="18" stopIfTrue="1" operator="greaterThan">
      <formula>1</formula>
    </cfRule>
    <cfRule type="cellIs" dxfId="12" priority="17" stopIfTrue="1" operator="lessThan">
      <formula>1</formula>
    </cfRule>
  </conditionalFormatting>
  <conditionalFormatting sqref="AG40:AO44">
    <cfRule type="cellIs" dxfId="11" priority="41" stopIfTrue="1" operator="lessThan">
      <formula>1</formula>
    </cfRule>
    <cfRule type="cellIs" dxfId="10" priority="42" stopIfTrue="1" operator="greaterThan">
      <formula>1</formula>
    </cfRule>
    <cfRule type="cellIs" dxfId="9" priority="43" stopIfTrue="1" operator="lessThan">
      <formula>1</formula>
    </cfRule>
    <cfRule type="cellIs" dxfId="8" priority="44" stopIfTrue="1" operator="greaterThan">
      <formula>1</formula>
    </cfRule>
  </conditionalFormatting>
  <conditionalFormatting sqref="AG53:AO57">
    <cfRule type="cellIs" dxfId="7" priority="28" stopIfTrue="1" operator="greaterThan">
      <formula>1</formula>
    </cfRule>
    <cfRule type="cellIs" dxfId="6" priority="27" stopIfTrue="1" operator="lessThan">
      <formula>1</formula>
    </cfRule>
    <cfRule type="cellIs" dxfId="5" priority="26" stopIfTrue="1" operator="greaterThan">
      <formula>1</formula>
    </cfRule>
    <cfRule type="cellIs" dxfId="4" priority="25" stopIfTrue="1" operator="lessThan">
      <formula>1</formula>
    </cfRule>
  </conditionalFormatting>
  <conditionalFormatting sqref="AG66:AO70">
    <cfRule type="cellIs" dxfId="3" priority="5" stopIfTrue="1" operator="lessThan">
      <formula>1</formula>
    </cfRule>
    <cfRule type="cellIs" dxfId="2" priority="7" stopIfTrue="1" operator="lessThan">
      <formula>1</formula>
    </cfRule>
    <cfRule type="cellIs" dxfId="1" priority="8" stopIfTrue="1" operator="greaterThan">
      <formula>1</formula>
    </cfRule>
    <cfRule type="cellIs" dxfId="0" priority="6" stopIfTrue="1" operator="greaterThan">
      <formula>1</formula>
    </cfRule>
  </conditionalFormatting>
  <dataValidations count="5">
    <dataValidation type="list" allowBlank="1" showInputMessage="1" showErrorMessage="1" sqref="B67" xr:uid="{00000000-0002-0000-0000-000000000000}">
      <formula1>Sorgopbrengspeil</formula1>
    </dataValidation>
    <dataValidation type="list" allowBlank="1" showInputMessage="1" showErrorMessage="1" sqref="B54" xr:uid="{00000000-0002-0000-0000-000001000000}">
      <formula1>Sojaverminopbrengspeil</formula1>
    </dataValidation>
    <dataValidation type="list" allowBlank="1" showInputMessage="1" showErrorMessage="1" sqref="B41" xr:uid="{00000000-0002-0000-0000-000002000000}">
      <formula1>Sojaopbrengspeil</formula1>
    </dataValidation>
    <dataValidation type="list" allowBlank="1" showInputMessage="1" showErrorMessage="1" sqref="B28" xr:uid="{00000000-0002-0000-0000-000003000000}">
      <formula1>Verminopbrengspeil</formula1>
    </dataValidation>
    <dataValidation type="list" allowBlank="1" showInputMessage="1" showErrorMessage="1" sqref="B15" xr:uid="{00000000-0002-0000-0000-000004000000}">
      <formula1>Opbrengspeil</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7"/>
  <sheetViews>
    <sheetView zoomScale="70" zoomScaleNormal="70" workbookViewId="0">
      <selection activeCell="E4" sqref="E4"/>
    </sheetView>
  </sheetViews>
  <sheetFormatPr defaultColWidth="9.109375" defaultRowHeight="14.4" x14ac:dyDescent="0.3"/>
  <cols>
    <col min="1" max="1" width="47.88671875" style="142" customWidth="1"/>
    <col min="2" max="2" width="13.33203125" style="142" customWidth="1"/>
    <col min="3" max="3" width="27.6640625" style="142" customWidth="1"/>
    <col min="4" max="4" width="16.109375" style="142" customWidth="1"/>
    <col min="5" max="6" width="14.33203125" style="142" customWidth="1"/>
    <col min="7" max="7" width="14.88671875" style="142" customWidth="1"/>
    <col min="8" max="8" width="14.5546875" style="142" customWidth="1"/>
    <col min="9" max="9" width="16.33203125" style="142" customWidth="1"/>
    <col min="10" max="10" width="14.44140625" style="142" customWidth="1"/>
    <col min="11" max="26" width="12.6640625" style="142" customWidth="1"/>
    <col min="27" max="16384" width="9.109375" style="142"/>
  </cols>
  <sheetData>
    <row r="1" spans="1:13" ht="33" customHeight="1" thickBot="1" x14ac:dyDescent="0.35">
      <c r="A1" s="328" t="s">
        <v>152</v>
      </c>
      <c r="B1" s="329"/>
      <c r="C1" s="329"/>
      <c r="D1" s="329"/>
      <c r="E1" s="140"/>
      <c r="F1" s="330" t="s">
        <v>31</v>
      </c>
      <c r="G1" s="330"/>
      <c r="H1" s="330"/>
      <c r="I1" s="141"/>
    </row>
    <row r="2" spans="1:13" ht="15" thickBot="1" x14ac:dyDescent="0.35">
      <c r="A2" s="143"/>
      <c r="B2" s="144"/>
      <c r="C2" s="145"/>
      <c r="D2" s="145"/>
      <c r="E2" s="145"/>
      <c r="F2" s="145"/>
      <c r="G2" s="145"/>
      <c r="H2" s="145"/>
      <c r="I2" s="146"/>
    </row>
    <row r="3" spans="1:13" ht="27.75" customHeight="1" thickBot="1" x14ac:dyDescent="0.35">
      <c r="A3" s="331" t="s">
        <v>32</v>
      </c>
      <c r="B3" s="332"/>
      <c r="C3" s="332"/>
      <c r="D3" s="147"/>
      <c r="E3" s="202">
        <f>'Pryse + Sensatiwiteitsanalise'!B19</f>
        <v>3770.75</v>
      </c>
      <c r="F3" s="147" t="s">
        <v>33</v>
      </c>
      <c r="G3" s="149"/>
      <c r="H3" s="149"/>
      <c r="I3" s="150"/>
    </row>
    <row r="4" spans="1:13" ht="15" thickBot="1" x14ac:dyDescent="0.35">
      <c r="A4" s="151"/>
      <c r="B4" s="152"/>
      <c r="C4" s="152"/>
      <c r="D4" s="153"/>
      <c r="E4" s="154"/>
      <c r="F4" s="155"/>
      <c r="G4" s="156"/>
      <c r="H4" s="157"/>
      <c r="I4" s="157"/>
    </row>
    <row r="5" spans="1:13" ht="15" thickBot="1" x14ac:dyDescent="0.35">
      <c r="A5" s="151" t="s">
        <v>34</v>
      </c>
      <c r="B5" s="152"/>
      <c r="C5" s="152"/>
      <c r="D5" s="158">
        <v>4.5</v>
      </c>
      <c r="E5" s="158">
        <v>5</v>
      </c>
      <c r="F5" s="158">
        <v>5.5</v>
      </c>
      <c r="G5" s="158">
        <v>6</v>
      </c>
      <c r="H5" s="158">
        <v>7</v>
      </c>
      <c r="I5" s="158">
        <v>8</v>
      </c>
    </row>
    <row r="6" spans="1:13" ht="15" thickBot="1" x14ac:dyDescent="0.35">
      <c r="A6" s="159" t="s">
        <v>35</v>
      </c>
      <c r="B6" s="160"/>
      <c r="C6" s="161"/>
      <c r="D6" s="162">
        <v>16943.625</v>
      </c>
      <c r="E6" s="162">
        <v>18826.25</v>
      </c>
      <c r="F6" s="162">
        <v>20708.875</v>
      </c>
      <c r="G6" s="162">
        <v>22591.5</v>
      </c>
      <c r="H6" s="162">
        <v>26356.75</v>
      </c>
      <c r="I6" s="162">
        <v>30122</v>
      </c>
    </row>
    <row r="7" spans="1:13" ht="15" thickBot="1" x14ac:dyDescent="0.35">
      <c r="A7" s="163"/>
      <c r="B7" s="164"/>
      <c r="C7" s="164"/>
      <c r="D7" s="165"/>
      <c r="E7" s="165"/>
      <c r="F7" s="165"/>
      <c r="G7" s="165"/>
      <c r="H7" s="165"/>
      <c r="I7" s="165"/>
      <c r="K7" s="345"/>
      <c r="L7" s="345"/>
      <c r="M7" s="345"/>
    </row>
    <row r="8" spans="1:13" ht="15" thickBot="1" x14ac:dyDescent="0.35">
      <c r="A8" s="333" t="s">
        <v>36</v>
      </c>
      <c r="B8" s="334"/>
      <c r="C8" s="335"/>
      <c r="D8" s="166"/>
      <c r="E8" s="166"/>
      <c r="F8" s="166"/>
      <c r="G8" s="166"/>
      <c r="H8" s="166"/>
      <c r="I8" s="166"/>
      <c r="K8" s="167"/>
      <c r="L8" s="167"/>
      <c r="M8" s="167"/>
    </row>
    <row r="9" spans="1:13" x14ac:dyDescent="0.3">
      <c r="A9" s="168" t="s">
        <v>40</v>
      </c>
      <c r="B9" s="169"/>
      <c r="C9" s="169"/>
      <c r="D9" s="170">
        <v>2608.9625000000001</v>
      </c>
      <c r="E9" s="170">
        <v>2608.9625000000001</v>
      </c>
      <c r="F9" s="170">
        <v>3314.0875000000001</v>
      </c>
      <c r="G9" s="170">
        <v>3314.0875000000001</v>
      </c>
      <c r="H9" s="170">
        <v>4019.2125000000005</v>
      </c>
      <c r="I9" s="170">
        <v>4230.75</v>
      </c>
      <c r="K9" s="171"/>
      <c r="L9" s="171"/>
      <c r="M9" s="171"/>
    </row>
    <row r="10" spans="1:13" x14ac:dyDescent="0.3">
      <c r="A10" s="172" t="s">
        <v>41</v>
      </c>
      <c r="B10" s="173"/>
      <c r="C10" s="173"/>
      <c r="D10" s="174">
        <v>6099.7150000000011</v>
      </c>
      <c r="E10" s="174">
        <v>6766.35</v>
      </c>
      <c r="F10" s="174">
        <v>7432.9850000000006</v>
      </c>
      <c r="G10" s="174">
        <v>8099.62</v>
      </c>
      <c r="H10" s="174">
        <v>9432.89</v>
      </c>
      <c r="I10" s="174">
        <v>10766.16</v>
      </c>
      <c r="K10" s="171"/>
      <c r="L10" s="171"/>
      <c r="M10" s="171"/>
    </row>
    <row r="11" spans="1:13" x14ac:dyDescent="0.3">
      <c r="A11" s="172" t="s">
        <v>42</v>
      </c>
      <c r="B11" s="173"/>
      <c r="C11" s="173"/>
      <c r="D11" s="174">
        <v>800</v>
      </c>
      <c r="E11" s="174">
        <v>800</v>
      </c>
      <c r="F11" s="174">
        <v>800</v>
      </c>
      <c r="G11" s="174">
        <v>800</v>
      </c>
      <c r="H11" s="174">
        <v>800</v>
      </c>
      <c r="I11" s="174">
        <v>800</v>
      </c>
      <c r="K11" s="171"/>
      <c r="L11" s="171"/>
      <c r="M11" s="171"/>
    </row>
    <row r="12" spans="1:13" x14ac:dyDescent="0.3">
      <c r="A12" s="172" t="s">
        <v>43</v>
      </c>
      <c r="B12" s="173"/>
      <c r="C12" s="173"/>
      <c r="D12" s="174">
        <v>1798.9305440000001</v>
      </c>
      <c r="E12" s="174">
        <v>1837.960544</v>
      </c>
      <c r="F12" s="174">
        <v>1876.990544</v>
      </c>
      <c r="G12" s="174">
        <v>1916.020544</v>
      </c>
      <c r="H12" s="174">
        <v>1981.0705440000002</v>
      </c>
      <c r="I12" s="174">
        <v>2046.1205439999999</v>
      </c>
      <c r="K12" s="171"/>
      <c r="L12" s="171"/>
      <c r="M12" s="171"/>
    </row>
    <row r="13" spans="1:13" x14ac:dyDescent="0.3">
      <c r="A13" s="172" t="s">
        <v>44</v>
      </c>
      <c r="B13" s="173"/>
      <c r="C13" s="173"/>
      <c r="D13" s="174">
        <v>1348.5153999999998</v>
      </c>
      <c r="E13" s="174">
        <v>1353.2687333333333</v>
      </c>
      <c r="F13" s="174">
        <v>1358.0220666666664</v>
      </c>
      <c r="G13" s="174">
        <v>1362.7754</v>
      </c>
      <c r="H13" s="174">
        <v>1372.2820666666667</v>
      </c>
      <c r="I13" s="174">
        <v>1381.7887333333333</v>
      </c>
      <c r="K13" s="171"/>
      <c r="L13" s="171"/>
      <c r="M13" s="171"/>
    </row>
    <row r="14" spans="1:13" x14ac:dyDescent="0.3">
      <c r="A14" s="172" t="s">
        <v>45</v>
      </c>
      <c r="B14" s="173"/>
      <c r="C14" s="173"/>
      <c r="D14" s="174">
        <v>1146.48</v>
      </c>
      <c r="E14" s="174">
        <v>1146.48</v>
      </c>
      <c r="F14" s="174">
        <v>1146.48</v>
      </c>
      <c r="G14" s="174">
        <v>1146.48</v>
      </c>
      <c r="H14" s="174">
        <v>1146.48</v>
      </c>
      <c r="I14" s="174">
        <v>1146.48</v>
      </c>
      <c r="K14" s="171"/>
      <c r="L14" s="171"/>
      <c r="M14" s="171"/>
    </row>
    <row r="15" spans="1:13" x14ac:dyDescent="0.3">
      <c r="A15" s="172" t="s">
        <v>46</v>
      </c>
      <c r="B15" s="173"/>
      <c r="C15" s="173"/>
      <c r="D15" s="174">
        <v>768.46799999999996</v>
      </c>
      <c r="E15" s="174">
        <v>768.46799999999996</v>
      </c>
      <c r="F15" s="174">
        <v>768.46799999999996</v>
      </c>
      <c r="G15" s="174">
        <v>768.46799999999996</v>
      </c>
      <c r="H15" s="174">
        <v>768.46799999999996</v>
      </c>
      <c r="I15" s="174">
        <v>768.46799999999996</v>
      </c>
    </row>
    <row r="16" spans="1:13" x14ac:dyDescent="0.3">
      <c r="A16" s="172" t="s">
        <v>47</v>
      </c>
      <c r="B16" s="173"/>
      <c r="C16" s="173"/>
      <c r="D16" s="174"/>
      <c r="E16" s="174"/>
      <c r="F16" s="174"/>
      <c r="G16" s="174"/>
      <c r="H16" s="174"/>
      <c r="I16" s="174"/>
    </row>
    <row r="17" spans="1:11" x14ac:dyDescent="0.3">
      <c r="A17" s="172" t="s">
        <v>48</v>
      </c>
      <c r="B17" s="173"/>
      <c r="C17" s="173"/>
      <c r="D17" s="174"/>
      <c r="E17" s="174"/>
      <c r="F17" s="174"/>
      <c r="G17" s="174"/>
      <c r="H17" s="174"/>
      <c r="I17" s="174"/>
    </row>
    <row r="18" spans="1:11" x14ac:dyDescent="0.3">
      <c r="A18" s="172" t="s">
        <v>49</v>
      </c>
      <c r="B18" s="173"/>
      <c r="C18" s="173"/>
      <c r="D18" s="174">
        <v>1556.7477156077334</v>
      </c>
      <c r="E18" s="174">
        <v>1634.4534539234974</v>
      </c>
      <c r="F18" s="174">
        <v>1780.2622151789944</v>
      </c>
      <c r="G18" s="174">
        <v>1857.9679534947588</v>
      </c>
      <c r="H18" s="174">
        <v>2080.2259094341161</v>
      </c>
      <c r="I18" s="174">
        <v>2254.8117493156601</v>
      </c>
    </row>
    <row r="19" spans="1:11" x14ac:dyDescent="0.3">
      <c r="A19" s="172" t="s">
        <v>50</v>
      </c>
      <c r="B19" s="173"/>
      <c r="C19" s="173"/>
      <c r="D19" s="174"/>
      <c r="E19" s="174"/>
      <c r="F19" s="174"/>
      <c r="G19" s="174"/>
      <c r="H19" s="174"/>
      <c r="I19" s="174"/>
    </row>
    <row r="20" spans="1:11" x14ac:dyDescent="0.3">
      <c r="A20" s="172" t="s">
        <v>51</v>
      </c>
      <c r="B20" s="173"/>
      <c r="C20" s="173"/>
      <c r="D20" s="174">
        <v>847.18125000000009</v>
      </c>
      <c r="E20" s="174">
        <v>941.3125</v>
      </c>
      <c r="F20" s="174">
        <v>1035.4437500000001</v>
      </c>
      <c r="G20" s="174">
        <v>1129.575</v>
      </c>
      <c r="H20" s="174">
        <v>1317.8375000000001</v>
      </c>
      <c r="I20" s="174">
        <v>1506.1000000000001</v>
      </c>
    </row>
    <row r="21" spans="1:11" x14ac:dyDescent="0.3">
      <c r="A21" s="172" t="s">
        <v>52</v>
      </c>
      <c r="B21" s="173"/>
      <c r="C21" s="173"/>
      <c r="D21" s="174">
        <v>200</v>
      </c>
      <c r="E21" s="174">
        <v>200</v>
      </c>
      <c r="F21" s="174">
        <v>200</v>
      </c>
      <c r="G21" s="174">
        <v>200</v>
      </c>
      <c r="H21" s="174">
        <v>200</v>
      </c>
      <c r="I21" s="174">
        <v>200</v>
      </c>
    </row>
    <row r="22" spans="1:11" x14ac:dyDescent="0.3">
      <c r="A22" s="172" t="s">
        <v>53</v>
      </c>
      <c r="B22" s="173"/>
      <c r="C22" s="173"/>
      <c r="D22" s="174">
        <v>500</v>
      </c>
      <c r="E22" s="174">
        <v>500</v>
      </c>
      <c r="F22" s="174">
        <v>500</v>
      </c>
      <c r="G22" s="174">
        <v>500</v>
      </c>
      <c r="H22" s="174">
        <v>500</v>
      </c>
      <c r="I22" s="174">
        <v>500</v>
      </c>
    </row>
    <row r="23" spans="1:11" x14ac:dyDescent="0.3">
      <c r="A23" s="172" t="s">
        <v>54</v>
      </c>
      <c r="B23" s="173"/>
      <c r="C23" s="173"/>
      <c r="D23" s="174"/>
      <c r="E23" s="174"/>
      <c r="F23" s="174"/>
      <c r="G23" s="174"/>
      <c r="H23" s="174"/>
      <c r="I23" s="174"/>
    </row>
    <row r="24" spans="1:11" x14ac:dyDescent="0.3">
      <c r="A24" s="172" t="s">
        <v>55</v>
      </c>
      <c r="B24" s="173"/>
      <c r="C24" s="173"/>
      <c r="D24" s="174"/>
      <c r="E24" s="174"/>
      <c r="F24" s="174"/>
      <c r="G24" s="174"/>
      <c r="H24" s="174"/>
      <c r="I24" s="174"/>
    </row>
    <row r="25" spans="1:11" ht="15" thickBot="1" x14ac:dyDescent="0.35">
      <c r="A25" s="172" t="s">
        <v>56</v>
      </c>
      <c r="B25" s="173"/>
      <c r="C25" s="173"/>
      <c r="D25" s="174">
        <v>1082.5937750884739</v>
      </c>
      <c r="E25" s="174">
        <v>1136.6319135394808</v>
      </c>
      <c r="F25" s="174">
        <v>1238.0302683955467</v>
      </c>
      <c r="G25" s="174">
        <v>1292.0684068465539</v>
      </c>
      <c r="H25" s="174">
        <v>1446.6310743561733</v>
      </c>
      <c r="I25" s="174">
        <v>1568.0415903822511</v>
      </c>
    </row>
    <row r="26" spans="1:11" ht="15" thickBot="1" x14ac:dyDescent="0.35">
      <c r="A26" s="336" t="s">
        <v>57</v>
      </c>
      <c r="B26" s="337"/>
      <c r="C26" s="338"/>
      <c r="D26" s="175">
        <f>SUM(D9:D25)</f>
        <v>18757.594184696209</v>
      </c>
      <c r="E26" s="175">
        <f t="shared" ref="E26:I26" si="0">SUM(E9:E25)</f>
        <v>19693.887644796312</v>
      </c>
      <c r="F26" s="175">
        <f t="shared" si="0"/>
        <v>21450.769344241206</v>
      </c>
      <c r="G26" s="175">
        <f t="shared" si="0"/>
        <v>22387.062804341313</v>
      </c>
      <c r="H26" s="175">
        <f t="shared" si="0"/>
        <v>25065.097594456962</v>
      </c>
      <c r="I26" s="175">
        <f t="shared" si="0"/>
        <v>27168.720617031246</v>
      </c>
    </row>
    <row r="27" spans="1:11" ht="15" thickBot="1" x14ac:dyDescent="0.35">
      <c r="A27" s="176"/>
      <c r="B27" s="177"/>
      <c r="C27" s="177"/>
      <c r="D27" s="178"/>
      <c r="E27" s="178"/>
      <c r="F27" s="178"/>
      <c r="G27" s="178"/>
      <c r="H27" s="178"/>
      <c r="I27" s="178"/>
    </row>
    <row r="28" spans="1:11" ht="15" thickBot="1" x14ac:dyDescent="0.35">
      <c r="A28" s="346" t="s">
        <v>58</v>
      </c>
      <c r="B28" s="347"/>
      <c r="C28" s="348"/>
      <c r="D28" s="179">
        <v>8315.9</v>
      </c>
      <c r="E28" s="175">
        <v>8315.9</v>
      </c>
      <c r="F28" s="175">
        <v>8315.9</v>
      </c>
      <c r="G28" s="175">
        <v>8315.9</v>
      </c>
      <c r="H28" s="175">
        <v>8315.9</v>
      </c>
      <c r="I28" s="175">
        <v>8315.9</v>
      </c>
      <c r="J28" s="180"/>
    </row>
    <row r="29" spans="1:11" ht="15" thickBot="1" x14ac:dyDescent="0.35">
      <c r="A29" s="176"/>
      <c r="B29" s="177"/>
      <c r="C29" s="177"/>
      <c r="D29" s="178"/>
      <c r="E29" s="178"/>
      <c r="F29" s="178"/>
      <c r="G29" s="178"/>
      <c r="H29" s="178"/>
      <c r="I29" s="178"/>
    </row>
    <row r="30" spans="1:11" ht="15" thickBot="1" x14ac:dyDescent="0.35">
      <c r="A30" s="336" t="s">
        <v>59</v>
      </c>
      <c r="B30" s="337"/>
      <c r="C30" s="338"/>
      <c r="D30" s="175">
        <f>D26+D28</f>
        <v>27073.49418469621</v>
      </c>
      <c r="E30" s="175">
        <f t="shared" ref="E30:I30" si="1">E26+E28</f>
        <v>28009.787644796314</v>
      </c>
      <c r="F30" s="175">
        <f t="shared" si="1"/>
        <v>29766.669344241207</v>
      </c>
      <c r="G30" s="175">
        <f t="shared" si="1"/>
        <v>30702.96280434131</v>
      </c>
      <c r="H30" s="175">
        <f t="shared" si="1"/>
        <v>33380.99759445696</v>
      </c>
      <c r="I30" s="175">
        <f t="shared" si="1"/>
        <v>35484.620617031243</v>
      </c>
    </row>
    <row r="31" spans="1:11" ht="15" thickBot="1" x14ac:dyDescent="0.35">
      <c r="A31" s="163"/>
      <c r="B31" s="164"/>
      <c r="C31" s="164"/>
      <c r="D31" s="181"/>
      <c r="E31" s="181"/>
      <c r="F31" s="181"/>
      <c r="G31" s="181"/>
      <c r="H31" s="181"/>
      <c r="I31" s="181"/>
      <c r="K31" s="186"/>
    </row>
    <row r="32" spans="1:11" ht="15" thickBot="1" x14ac:dyDescent="0.35">
      <c r="A32" s="336" t="s">
        <v>60</v>
      </c>
      <c r="B32" s="349"/>
      <c r="C32" s="350"/>
      <c r="D32" s="175">
        <f>D30/D5</f>
        <v>6016.3320410436027</v>
      </c>
      <c r="E32" s="175">
        <f t="shared" ref="E32:I32" si="2">E30/E5</f>
        <v>5601.9575289592631</v>
      </c>
      <c r="F32" s="175">
        <f t="shared" si="2"/>
        <v>5412.1216989529466</v>
      </c>
      <c r="G32" s="175">
        <f t="shared" si="2"/>
        <v>5117.1604673902184</v>
      </c>
      <c r="H32" s="175">
        <f t="shared" si="2"/>
        <v>4768.7139420652802</v>
      </c>
      <c r="I32" s="175">
        <f t="shared" si="2"/>
        <v>4435.5775771289054</v>
      </c>
    </row>
    <row r="33" spans="1:10" ht="15" thickBot="1" x14ac:dyDescent="0.35">
      <c r="A33" s="163"/>
      <c r="B33" s="164"/>
      <c r="C33" s="164"/>
      <c r="D33" s="181"/>
      <c r="E33" s="181"/>
      <c r="F33" s="181"/>
      <c r="G33" s="181"/>
      <c r="H33" s="181"/>
      <c r="I33" s="181"/>
    </row>
    <row r="34" spans="1:10" ht="15" thickBot="1" x14ac:dyDescent="0.35">
      <c r="A34" s="159" t="s">
        <v>61</v>
      </c>
      <c r="B34" s="160"/>
      <c r="C34" s="160"/>
      <c r="D34" s="175">
        <f>'Pryse + Sensatiwiteitsanalise'!$D$4</f>
        <v>406.25</v>
      </c>
      <c r="E34" s="175">
        <f>'Pryse + Sensatiwiteitsanalise'!$D$4</f>
        <v>406.25</v>
      </c>
      <c r="F34" s="175">
        <f>'Pryse + Sensatiwiteitsanalise'!$D$4</f>
        <v>406.25</v>
      </c>
      <c r="G34" s="175">
        <f>'Pryse + Sensatiwiteitsanalise'!$D$4</f>
        <v>406.25</v>
      </c>
      <c r="H34" s="175">
        <f>'Pryse + Sensatiwiteitsanalise'!$D$4</f>
        <v>406.25</v>
      </c>
      <c r="I34" s="175">
        <f>'Pryse + Sensatiwiteitsanalise'!$D$4</f>
        <v>406.25</v>
      </c>
    </row>
    <row r="35" spans="1:10" ht="15" thickBot="1" x14ac:dyDescent="0.35">
      <c r="A35" s="163"/>
      <c r="B35" s="164"/>
      <c r="C35" s="164"/>
      <c r="D35" s="181"/>
      <c r="E35" s="181"/>
      <c r="F35" s="181"/>
      <c r="G35" s="181"/>
      <c r="H35" s="181"/>
      <c r="I35" s="181"/>
    </row>
    <row r="36" spans="1:10" ht="15" thickBot="1" x14ac:dyDescent="0.35">
      <c r="A36" s="328" t="s">
        <v>62</v>
      </c>
      <c r="B36" s="351"/>
      <c r="C36" s="352"/>
      <c r="D36" s="182">
        <f>D32+D34</f>
        <v>6422.5820410436027</v>
      </c>
      <c r="E36" s="182">
        <f t="shared" ref="E36:I36" si="3">E32+E34</f>
        <v>6008.2075289592631</v>
      </c>
      <c r="F36" s="182">
        <f t="shared" si="3"/>
        <v>5818.3716989529466</v>
      </c>
      <c r="G36" s="182">
        <f t="shared" si="3"/>
        <v>5523.4104673902184</v>
      </c>
      <c r="H36" s="182">
        <f t="shared" si="3"/>
        <v>5174.9639420652802</v>
      </c>
      <c r="I36" s="182">
        <f t="shared" si="3"/>
        <v>4841.8275771289054</v>
      </c>
    </row>
    <row r="37" spans="1:10" ht="15" thickBot="1" x14ac:dyDescent="0.35">
      <c r="A37" s="183" t="s">
        <v>63</v>
      </c>
      <c r="B37" s="184"/>
      <c r="C37" s="185"/>
      <c r="D37" s="182">
        <f>'Pryse + Sensatiwiteitsanalise'!B4</f>
        <v>4177</v>
      </c>
      <c r="E37" s="182">
        <f>$D$37</f>
        <v>4177</v>
      </c>
      <c r="F37" s="182">
        <f>$D$37</f>
        <v>4177</v>
      </c>
      <c r="G37" s="182">
        <f>$D$37</f>
        <v>4177</v>
      </c>
      <c r="H37" s="182">
        <f>$D$37</f>
        <v>4177</v>
      </c>
      <c r="I37" s="182">
        <f>$D$37</f>
        <v>4177</v>
      </c>
    </row>
    <row r="38" spans="1:10" ht="15" thickBot="1" x14ac:dyDescent="0.35">
      <c r="D38" s="186"/>
      <c r="E38" s="186"/>
      <c r="F38" s="186"/>
      <c r="G38" s="186"/>
      <c r="H38" s="186"/>
      <c r="I38" s="186"/>
    </row>
    <row r="39" spans="1:10" s="189" customFormat="1" x14ac:dyDescent="0.3">
      <c r="A39" s="339" t="s">
        <v>64</v>
      </c>
      <c r="B39" s="340"/>
      <c r="C39" s="341"/>
      <c r="D39" s="187">
        <f t="shared" ref="D39:I39" si="4">D6-D26</f>
        <v>-1813.9691846962087</v>
      </c>
      <c r="E39" s="188">
        <f t="shared" si="4"/>
        <v>-867.63764479631209</v>
      </c>
      <c r="F39" s="187">
        <f t="shared" si="4"/>
        <v>-741.89434424120554</v>
      </c>
      <c r="G39" s="188">
        <f t="shared" si="4"/>
        <v>204.43719565868741</v>
      </c>
      <c r="H39" s="187">
        <f t="shared" si="4"/>
        <v>1291.6524055430382</v>
      </c>
      <c r="I39" s="187">
        <f t="shared" si="4"/>
        <v>2953.2793829687544</v>
      </c>
    </row>
    <row r="40" spans="1:10" s="189" customFormat="1" ht="15" thickBot="1" x14ac:dyDescent="0.35">
      <c r="A40" s="342" t="s">
        <v>65</v>
      </c>
      <c r="B40" s="343"/>
      <c r="C40" s="344"/>
      <c r="D40" s="210">
        <f t="shared" ref="D40:I40" si="5">D6-D30</f>
        <v>-10129.86918469621</v>
      </c>
      <c r="E40" s="211">
        <f t="shared" si="5"/>
        <v>-9183.5376447963135</v>
      </c>
      <c r="F40" s="210">
        <f t="shared" si="5"/>
        <v>-9057.794344241207</v>
      </c>
      <c r="G40" s="211">
        <f t="shared" si="5"/>
        <v>-8111.4628043413104</v>
      </c>
      <c r="H40" s="210">
        <f t="shared" si="5"/>
        <v>-7024.2475944569596</v>
      </c>
      <c r="I40" s="210">
        <f t="shared" si="5"/>
        <v>-5362.6206170312435</v>
      </c>
    </row>
    <row r="41" spans="1:10" x14ac:dyDescent="0.3">
      <c r="A41" s="205" t="s">
        <v>151</v>
      </c>
      <c r="B41" s="206"/>
      <c r="C41" s="206"/>
      <c r="D41" s="206"/>
      <c r="E41" s="206"/>
      <c r="F41" s="206"/>
      <c r="G41" s="206"/>
      <c r="H41" s="206"/>
      <c r="I41" s="213"/>
      <c r="J41" s="195"/>
    </row>
    <row r="42" spans="1:10" x14ac:dyDescent="0.3">
      <c r="A42" s="207" t="s">
        <v>67</v>
      </c>
      <c r="B42" s="212"/>
      <c r="C42" s="212"/>
      <c r="D42" s="212"/>
      <c r="E42" s="212"/>
      <c r="F42" s="212"/>
      <c r="G42" s="212"/>
      <c r="H42" s="212"/>
      <c r="I42" s="214"/>
      <c r="J42" s="195"/>
    </row>
    <row r="43" spans="1:10" ht="15" thickBot="1" x14ac:dyDescent="0.35">
      <c r="A43" s="208" t="s">
        <v>68</v>
      </c>
      <c r="B43" s="209"/>
      <c r="C43" s="209"/>
      <c r="D43" s="209"/>
      <c r="E43" s="209"/>
      <c r="F43" s="209"/>
      <c r="G43" s="209"/>
      <c r="H43" s="209"/>
      <c r="I43" s="215"/>
      <c r="J43" s="195"/>
    </row>
    <row r="44" spans="1:10" x14ac:dyDescent="0.3">
      <c r="A44" s="322" t="s">
        <v>69</v>
      </c>
      <c r="B44" s="323"/>
      <c r="C44" s="323"/>
      <c r="D44" s="323"/>
      <c r="E44" s="323"/>
      <c r="F44" s="323"/>
      <c r="G44" s="323"/>
      <c r="H44" s="323"/>
      <c r="I44" s="216"/>
    </row>
    <row r="45" spans="1:10" x14ac:dyDescent="0.3">
      <c r="A45" s="324"/>
      <c r="B45" s="325"/>
      <c r="C45" s="325"/>
      <c r="D45" s="325"/>
      <c r="E45" s="325"/>
      <c r="F45" s="325"/>
      <c r="G45" s="325"/>
      <c r="H45" s="325"/>
      <c r="I45" s="217"/>
    </row>
    <row r="46" spans="1:10" x14ac:dyDescent="0.3">
      <c r="A46" s="324"/>
      <c r="B46" s="325"/>
      <c r="C46" s="325"/>
      <c r="D46" s="325"/>
      <c r="E46" s="325"/>
      <c r="F46" s="325"/>
      <c r="G46" s="325"/>
      <c r="H46" s="325"/>
      <c r="I46" s="217"/>
    </row>
    <row r="47" spans="1:10" ht="15" thickBot="1" x14ac:dyDescent="0.35">
      <c r="A47" s="326"/>
      <c r="B47" s="327"/>
      <c r="C47" s="327"/>
      <c r="D47" s="327"/>
      <c r="E47" s="327"/>
      <c r="F47" s="327"/>
      <c r="G47" s="327"/>
      <c r="H47" s="327"/>
      <c r="I47" s="218"/>
    </row>
  </sheetData>
  <mergeCells count="13">
    <mergeCell ref="K7:M7"/>
    <mergeCell ref="A28:C28"/>
    <mergeCell ref="A30:C30"/>
    <mergeCell ref="A32:C32"/>
    <mergeCell ref="A36:C36"/>
    <mergeCell ref="A44:H47"/>
    <mergeCell ref="A1:D1"/>
    <mergeCell ref="F1:H1"/>
    <mergeCell ref="A3:C3"/>
    <mergeCell ref="A8:C8"/>
    <mergeCell ref="A26:C26"/>
    <mergeCell ref="A39:C39"/>
    <mergeCell ref="A40:C40"/>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8" fitToHeight="0" orientation="portrait" verticalDpi="300" r:id="rId1"/>
  <headerFooter alignWithMargins="0">
    <oddHeader>&amp;F</oddHeader>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3"/>
  <sheetViews>
    <sheetView zoomScale="85" zoomScaleNormal="85" workbookViewId="0">
      <selection activeCell="J20" sqref="J20"/>
    </sheetView>
  </sheetViews>
  <sheetFormatPr defaultColWidth="9.109375" defaultRowHeight="13.2" x14ac:dyDescent="0.25"/>
  <cols>
    <col min="1" max="1" width="41.6640625" style="1" customWidth="1"/>
    <col min="2" max="2" width="17.33203125" style="1" customWidth="1"/>
    <col min="3" max="3" width="16.6640625" style="1" customWidth="1"/>
    <col min="4" max="4" width="16.109375" style="1" customWidth="1"/>
    <col min="5" max="7" width="14.33203125" style="1" customWidth="1"/>
    <col min="8" max="8" width="14.109375" style="1" customWidth="1"/>
    <col min="9" max="9" width="14.33203125" style="1" customWidth="1"/>
    <col min="10" max="10" width="14.44140625" style="1" customWidth="1"/>
    <col min="11" max="13" width="12.6640625" style="1" hidden="1" customWidth="1"/>
    <col min="14" max="26" width="12.6640625" style="1" customWidth="1"/>
    <col min="27" max="16384" width="9.109375" style="1"/>
  </cols>
  <sheetData>
    <row r="1" spans="1:13" ht="33" customHeight="1" thickBot="1" x14ac:dyDescent="0.3">
      <c r="A1" s="353" t="s">
        <v>70</v>
      </c>
      <c r="B1" s="354"/>
      <c r="C1" s="354"/>
      <c r="D1" s="354"/>
      <c r="E1" s="355" t="s">
        <v>71</v>
      </c>
      <c r="F1" s="355"/>
      <c r="G1" s="355"/>
      <c r="H1" s="2"/>
      <c r="I1" s="9"/>
    </row>
    <row r="2" spans="1:13" ht="16.2" thickBot="1" x14ac:dyDescent="0.35">
      <c r="A2" s="10"/>
      <c r="B2" s="11"/>
      <c r="C2" s="12"/>
      <c r="D2" s="12"/>
      <c r="E2" s="8"/>
      <c r="F2" s="8"/>
      <c r="G2" s="8"/>
      <c r="H2" s="8"/>
      <c r="I2" s="3"/>
    </row>
    <row r="3" spans="1:13" ht="27.75" customHeight="1" thickBot="1" x14ac:dyDescent="0.3">
      <c r="A3" s="356" t="s">
        <v>32</v>
      </c>
      <c r="B3" s="357"/>
      <c r="C3" s="357"/>
      <c r="D3" s="19"/>
      <c r="E3" s="27">
        <f>'Pryse + Sensatiwiteitsanalise'!B19</f>
        <v>3770.75</v>
      </c>
      <c r="F3" s="19" t="s">
        <v>33</v>
      </c>
      <c r="G3" s="13"/>
      <c r="H3" s="13"/>
      <c r="I3" s="4"/>
    </row>
    <row r="4" spans="1:13" ht="13.8" thickBot="1" x14ac:dyDescent="0.3">
      <c r="A4" s="62"/>
      <c r="B4" s="72"/>
      <c r="C4" s="72"/>
      <c r="D4" s="5"/>
      <c r="E4" s="7"/>
      <c r="F4" s="14"/>
      <c r="G4" s="6"/>
      <c r="H4" s="15"/>
      <c r="I4" s="15"/>
    </row>
    <row r="5" spans="1:13" ht="13.8" thickBot="1" x14ac:dyDescent="0.3">
      <c r="A5" s="62" t="s">
        <v>34</v>
      </c>
      <c r="B5" s="72"/>
      <c r="C5" s="72"/>
      <c r="D5" s="28">
        <v>4.5</v>
      </c>
      <c r="E5" s="28">
        <v>5</v>
      </c>
      <c r="F5" s="28">
        <v>5.5</v>
      </c>
      <c r="G5" s="28">
        <v>6</v>
      </c>
      <c r="H5" s="28">
        <v>7</v>
      </c>
      <c r="I5" s="28">
        <v>8</v>
      </c>
    </row>
    <row r="6" spans="1:13" ht="13.8" thickBot="1" x14ac:dyDescent="0.3">
      <c r="A6" s="63" t="s">
        <v>35</v>
      </c>
      <c r="B6" s="73"/>
      <c r="C6" s="74"/>
      <c r="D6" s="26">
        <f t="shared" ref="D6:I6" si="0">$E$3*D5</f>
        <v>16968.375</v>
      </c>
      <c r="E6" s="26">
        <f t="shared" si="0"/>
        <v>18853.75</v>
      </c>
      <c r="F6" s="26">
        <f t="shared" si="0"/>
        <v>20739.125</v>
      </c>
      <c r="G6" s="26">
        <f t="shared" si="0"/>
        <v>22624.5</v>
      </c>
      <c r="H6" s="26">
        <f t="shared" si="0"/>
        <v>26395.25</v>
      </c>
      <c r="I6" s="26">
        <f t="shared" si="0"/>
        <v>30166</v>
      </c>
    </row>
    <row r="7" spans="1:13" ht="15" thickBot="1" x14ac:dyDescent="0.35">
      <c r="A7" s="65"/>
      <c r="B7" s="66"/>
      <c r="C7" s="66"/>
      <c r="D7" s="16"/>
      <c r="E7" s="16"/>
      <c r="F7" s="16"/>
      <c r="G7" s="16"/>
      <c r="H7" s="16"/>
      <c r="I7" s="16"/>
      <c r="K7" s="364" t="s">
        <v>72</v>
      </c>
      <c r="L7" s="364"/>
      <c r="M7" s="364"/>
    </row>
    <row r="8" spans="1:13" ht="15" thickBot="1" x14ac:dyDescent="0.35">
      <c r="A8" s="358" t="s">
        <v>36</v>
      </c>
      <c r="B8" s="359"/>
      <c r="C8" s="360"/>
      <c r="D8" s="17"/>
      <c r="E8" s="17"/>
      <c r="F8" s="17"/>
      <c r="G8" s="17"/>
      <c r="H8" s="17"/>
      <c r="I8" s="17"/>
      <c r="K8" s="86" t="s">
        <v>37</v>
      </c>
      <c r="L8" s="86" t="s">
        <v>38</v>
      </c>
      <c r="M8" s="86" t="s">
        <v>39</v>
      </c>
    </row>
    <row r="9" spans="1:13" ht="14.4" x14ac:dyDescent="0.3">
      <c r="A9" s="67" t="s">
        <v>40</v>
      </c>
      <c r="B9" s="68"/>
      <c r="C9" s="68"/>
      <c r="D9" s="20">
        <v>1756.5625</v>
      </c>
      <c r="E9" s="20">
        <v>1756.5625</v>
      </c>
      <c r="F9" s="20">
        <v>2258.4375</v>
      </c>
      <c r="G9" s="20">
        <v>2258.4375</v>
      </c>
      <c r="H9" s="20">
        <v>2760.3125</v>
      </c>
      <c r="I9" s="20">
        <v>2569.1875</v>
      </c>
      <c r="K9" s="87">
        <f>D5</f>
        <v>4.5</v>
      </c>
      <c r="L9" s="87">
        <f>D25</f>
        <v>8652.3197920375605</v>
      </c>
      <c r="M9" s="87">
        <f>D27</f>
        <v>2578.7064961761193</v>
      </c>
    </row>
    <row r="10" spans="1:13" ht="14.4" x14ac:dyDescent="0.3">
      <c r="A10" s="64" t="s">
        <v>41</v>
      </c>
      <c r="B10" s="69"/>
      <c r="C10" s="69"/>
      <c r="D10" s="21">
        <v>2314.6999999999998</v>
      </c>
      <c r="E10" s="21">
        <v>2563</v>
      </c>
      <c r="F10" s="21">
        <v>2811.3</v>
      </c>
      <c r="G10" s="21">
        <v>3059.6000000000004</v>
      </c>
      <c r="H10" s="21">
        <v>3556.2</v>
      </c>
      <c r="I10" s="21">
        <v>4103.6000000000004</v>
      </c>
      <c r="K10" s="87">
        <f>E5</f>
        <v>5</v>
      </c>
      <c r="L10" s="87">
        <f>E25</f>
        <v>9025.258756072737</v>
      </c>
      <c r="M10" s="87">
        <f>E27</f>
        <v>2578.7064961761193</v>
      </c>
    </row>
    <row r="11" spans="1:13" ht="14.4" x14ac:dyDescent="0.3">
      <c r="A11" s="64" t="s">
        <v>42</v>
      </c>
      <c r="B11" s="69"/>
      <c r="C11" s="69"/>
      <c r="D11" s="21">
        <v>217.58220000000003</v>
      </c>
      <c r="E11" s="21">
        <v>217.58220000000003</v>
      </c>
      <c r="F11" s="21">
        <v>217.58220000000003</v>
      </c>
      <c r="G11" s="21">
        <v>217.58220000000003</v>
      </c>
      <c r="H11" s="21">
        <v>217.58220000000003</v>
      </c>
      <c r="I11" s="21">
        <v>217.58220000000003</v>
      </c>
      <c r="K11" s="87">
        <f>F5</f>
        <v>5.5</v>
      </c>
      <c r="L11" s="87">
        <f>F25</f>
        <v>9987.7355438528339</v>
      </c>
      <c r="M11" s="87">
        <f>F27</f>
        <v>2578.7064961761193</v>
      </c>
    </row>
    <row r="12" spans="1:13" ht="14.4" x14ac:dyDescent="0.3">
      <c r="A12" s="64" t="s">
        <v>43</v>
      </c>
      <c r="B12" s="69"/>
      <c r="C12" s="69"/>
      <c r="D12" s="21">
        <v>757.64768278790075</v>
      </c>
      <c r="E12" s="21">
        <v>772.7629280431197</v>
      </c>
      <c r="F12" s="21">
        <v>787.87817329833865</v>
      </c>
      <c r="G12" s="21">
        <v>802.9934185535576</v>
      </c>
      <c r="H12" s="21">
        <v>827.52004292995071</v>
      </c>
      <c r="I12" s="21">
        <v>952.16517999999996</v>
      </c>
      <c r="K12" s="87">
        <f>G5</f>
        <v>6</v>
      </c>
      <c r="L12" s="87">
        <f>G25</f>
        <v>10360.67450788801</v>
      </c>
      <c r="M12" s="87">
        <f>G27</f>
        <v>2578.7064961761193</v>
      </c>
    </row>
    <row r="13" spans="1:13" ht="14.4" x14ac:dyDescent="0.3">
      <c r="A13" s="64" t="s">
        <v>44</v>
      </c>
      <c r="B13" s="69"/>
      <c r="C13" s="69"/>
      <c r="D13" s="21">
        <v>583.54718400000002</v>
      </c>
      <c r="E13" s="21">
        <v>586.82673399999999</v>
      </c>
      <c r="F13" s="21">
        <v>590.10628399999996</v>
      </c>
      <c r="G13" s="21">
        <v>593.38583399999993</v>
      </c>
      <c r="H13" s="21">
        <v>599.94493399999999</v>
      </c>
      <c r="I13" s="21">
        <v>566.82619999999997</v>
      </c>
      <c r="K13" s="87">
        <f>H5</f>
        <v>7</v>
      </c>
      <c r="L13" s="87">
        <f>H25</f>
        <v>11689.390095663241</v>
      </c>
      <c r="M13" s="87">
        <f>H27</f>
        <v>2578.7064961761193</v>
      </c>
    </row>
    <row r="14" spans="1:13" ht="14.4" x14ac:dyDescent="0.3">
      <c r="A14" s="64" t="s">
        <v>45</v>
      </c>
      <c r="B14" s="69"/>
      <c r="C14" s="69"/>
      <c r="D14" s="21">
        <v>699.59999999999991</v>
      </c>
      <c r="E14" s="21">
        <v>699.59999999999991</v>
      </c>
      <c r="F14" s="21">
        <v>699.59999999999991</v>
      </c>
      <c r="G14" s="21">
        <v>699.59999999999991</v>
      </c>
      <c r="H14" s="21">
        <v>699.59999999999991</v>
      </c>
      <c r="I14" s="21">
        <v>783</v>
      </c>
      <c r="K14" s="87">
        <f>I5</f>
        <v>8</v>
      </c>
      <c r="L14" s="87">
        <f>I25</f>
        <v>12569.819011930629</v>
      </c>
      <c r="M14" s="87">
        <f>I27</f>
        <v>2326.7760716424914</v>
      </c>
    </row>
    <row r="15" spans="1:13" x14ac:dyDescent="0.25">
      <c r="A15" s="64" t="s">
        <v>46</v>
      </c>
      <c r="B15" s="69"/>
      <c r="C15" s="69"/>
      <c r="D15" s="21">
        <v>579</v>
      </c>
      <c r="E15" s="21">
        <v>579</v>
      </c>
      <c r="F15" s="21">
        <v>579</v>
      </c>
      <c r="G15" s="21">
        <v>579</v>
      </c>
      <c r="H15" s="21">
        <v>579</v>
      </c>
      <c r="I15" s="21">
        <v>648</v>
      </c>
    </row>
    <row r="16" spans="1:13" x14ac:dyDescent="0.25">
      <c r="A16" s="64" t="s">
        <v>47</v>
      </c>
      <c r="B16" s="69"/>
      <c r="C16" s="69"/>
      <c r="D16" s="21">
        <v>151.19324999999998</v>
      </c>
      <c r="E16" s="21">
        <v>167.99250000000001</v>
      </c>
      <c r="F16" s="21">
        <v>184.79175000000001</v>
      </c>
      <c r="G16" s="21">
        <v>201.59099999999998</v>
      </c>
      <c r="H16" s="21">
        <v>235.18950000000001</v>
      </c>
      <c r="I16" s="21">
        <v>422.76</v>
      </c>
    </row>
    <row r="17" spans="1:10" x14ac:dyDescent="0.25">
      <c r="A17" s="64" t="s">
        <v>49</v>
      </c>
      <c r="B17" s="69"/>
      <c r="C17" s="69"/>
      <c r="D17" s="21">
        <v>854.99026457201398</v>
      </c>
      <c r="E17" s="21">
        <v>891.84271468869622</v>
      </c>
      <c r="F17" s="21">
        <v>986.95111373167015</v>
      </c>
      <c r="G17" s="21">
        <v>1023.8035638483526</v>
      </c>
      <c r="H17" s="21">
        <v>1155.1023275600637</v>
      </c>
      <c r="I17" s="21">
        <v>820.81243394833962</v>
      </c>
    </row>
    <row r="18" spans="1:10" x14ac:dyDescent="0.25">
      <c r="A18" s="64" t="s">
        <v>50</v>
      </c>
      <c r="B18" s="69"/>
      <c r="C18" s="69"/>
      <c r="D18" s="21">
        <v>0</v>
      </c>
      <c r="E18" s="21">
        <v>0</v>
      </c>
      <c r="F18" s="21">
        <v>0</v>
      </c>
      <c r="G18" s="21">
        <v>0</v>
      </c>
      <c r="H18" s="21">
        <v>0</v>
      </c>
      <c r="I18" s="21">
        <v>0</v>
      </c>
    </row>
    <row r="19" spans="1:10" x14ac:dyDescent="0.25">
      <c r="A19" s="64" t="s">
        <v>51</v>
      </c>
      <c r="B19" s="69"/>
      <c r="C19" s="69"/>
      <c r="D19" s="21">
        <v>305.90831250000002</v>
      </c>
      <c r="E19" s="21">
        <v>339.89812500000005</v>
      </c>
      <c r="F19" s="21">
        <v>373.88793750000008</v>
      </c>
      <c r="G19" s="21">
        <v>407.87775000000005</v>
      </c>
      <c r="H19" s="21">
        <v>475.85737500000005</v>
      </c>
      <c r="I19" s="21">
        <v>858.88739999999996</v>
      </c>
    </row>
    <row r="20" spans="1:10" x14ac:dyDescent="0.25">
      <c r="A20" s="64" t="s">
        <v>52</v>
      </c>
      <c r="B20" s="69"/>
      <c r="C20" s="69"/>
      <c r="D20" s="21">
        <v>0</v>
      </c>
      <c r="E20" s="21">
        <v>0</v>
      </c>
      <c r="F20" s="21">
        <v>0</v>
      </c>
      <c r="G20" s="21">
        <v>0</v>
      </c>
      <c r="H20" s="21">
        <v>0</v>
      </c>
      <c r="I20" s="21">
        <v>0</v>
      </c>
    </row>
    <row r="21" spans="1:10" x14ac:dyDescent="0.25">
      <c r="A21" s="64" t="s">
        <v>53</v>
      </c>
      <c r="B21" s="69"/>
      <c r="C21" s="69"/>
      <c r="D21" s="21">
        <v>0</v>
      </c>
      <c r="E21" s="21">
        <v>0</v>
      </c>
      <c r="F21" s="21">
        <v>0</v>
      </c>
      <c r="G21" s="21">
        <v>0</v>
      </c>
      <c r="H21" s="21">
        <v>0</v>
      </c>
      <c r="I21" s="21">
        <v>0</v>
      </c>
    </row>
    <row r="22" spans="1:10" x14ac:dyDescent="0.25">
      <c r="A22" s="64" t="s">
        <v>54</v>
      </c>
      <c r="B22" s="69"/>
      <c r="C22" s="69"/>
      <c r="D22" s="21">
        <v>0</v>
      </c>
      <c r="E22" s="21">
        <v>0</v>
      </c>
      <c r="F22" s="21">
        <v>0</v>
      </c>
      <c r="G22" s="21">
        <v>0</v>
      </c>
      <c r="H22" s="21">
        <v>0</v>
      </c>
      <c r="I22" s="21">
        <v>0</v>
      </c>
    </row>
    <row r="23" spans="1:10" x14ac:dyDescent="0.25">
      <c r="A23" s="64" t="s">
        <v>55</v>
      </c>
      <c r="B23" s="69"/>
      <c r="C23" s="69"/>
      <c r="D23" s="21">
        <v>0</v>
      </c>
      <c r="E23" s="21">
        <v>0</v>
      </c>
      <c r="F23" s="21">
        <v>0</v>
      </c>
      <c r="G23" s="21">
        <v>0</v>
      </c>
      <c r="H23" s="21">
        <v>0</v>
      </c>
      <c r="I23" s="21">
        <v>0</v>
      </c>
    </row>
    <row r="24" spans="1:10" ht="13.8" thickBot="1" x14ac:dyDescent="0.3">
      <c r="A24" s="64" t="s">
        <v>56</v>
      </c>
      <c r="B24" s="69"/>
      <c r="C24" s="69"/>
      <c r="D24" s="21">
        <v>431.5883981776455</v>
      </c>
      <c r="E24" s="21">
        <v>450.19105434092029</v>
      </c>
      <c r="F24" s="21">
        <v>498.20058532282548</v>
      </c>
      <c r="G24" s="21">
        <v>516.80324148610032</v>
      </c>
      <c r="H24" s="21">
        <v>583.0812161732257</v>
      </c>
      <c r="I24" s="21">
        <v>626.99809798228785</v>
      </c>
    </row>
    <row r="25" spans="1:10" ht="26.25" customHeight="1" thickBot="1" x14ac:dyDescent="0.3">
      <c r="A25" s="361" t="s">
        <v>57</v>
      </c>
      <c r="B25" s="362"/>
      <c r="C25" s="363"/>
      <c r="D25" s="22">
        <f t="shared" ref="D25:I25" si="1">SUM(D9:D24)</f>
        <v>8652.3197920375605</v>
      </c>
      <c r="E25" s="22">
        <f t="shared" si="1"/>
        <v>9025.258756072737</v>
      </c>
      <c r="F25" s="22">
        <f t="shared" si="1"/>
        <v>9987.7355438528339</v>
      </c>
      <c r="G25" s="22">
        <f t="shared" si="1"/>
        <v>10360.67450788801</v>
      </c>
      <c r="H25" s="22">
        <f t="shared" si="1"/>
        <v>11689.390095663241</v>
      </c>
      <c r="I25" s="22">
        <f t="shared" si="1"/>
        <v>12569.819011930629</v>
      </c>
    </row>
    <row r="26" spans="1:10" ht="13.8" thickBot="1" x14ac:dyDescent="0.3">
      <c r="A26" s="70"/>
      <c r="B26" s="71"/>
      <c r="C26" s="71"/>
      <c r="D26" s="23"/>
      <c r="E26" s="23"/>
      <c r="F26" s="23"/>
      <c r="G26" s="23"/>
      <c r="H26" s="23"/>
      <c r="I26" s="23"/>
    </row>
    <row r="27" spans="1:10" ht="13.8" thickBot="1" x14ac:dyDescent="0.3">
      <c r="A27" s="375" t="s">
        <v>58</v>
      </c>
      <c r="B27" s="376"/>
      <c r="C27" s="377"/>
      <c r="D27" s="22">
        <v>2578.7064961761193</v>
      </c>
      <c r="E27" s="22">
        <v>2578.7064961761193</v>
      </c>
      <c r="F27" s="22">
        <v>2578.7064961761193</v>
      </c>
      <c r="G27" s="22">
        <v>2578.7064961761193</v>
      </c>
      <c r="H27" s="22">
        <v>2578.7064961761193</v>
      </c>
      <c r="I27" s="22">
        <v>2326.7760716424914</v>
      </c>
      <c r="J27" s="18"/>
    </row>
    <row r="28" spans="1:10" ht="13.8" thickBot="1" x14ac:dyDescent="0.3">
      <c r="A28" s="70"/>
      <c r="B28" s="71"/>
      <c r="C28" s="71"/>
      <c r="D28" s="23"/>
      <c r="E28" s="23"/>
      <c r="F28" s="23"/>
      <c r="G28" s="23"/>
      <c r="H28" s="23"/>
      <c r="I28" s="23"/>
    </row>
    <row r="29" spans="1:10" ht="27.75" customHeight="1" thickBot="1" x14ac:dyDescent="0.3">
      <c r="A29" s="361" t="s">
        <v>59</v>
      </c>
      <c r="B29" s="362"/>
      <c r="C29" s="363"/>
      <c r="D29" s="22">
        <f t="shared" ref="D29:I29" si="2">D25+D27</f>
        <v>11231.026288213679</v>
      </c>
      <c r="E29" s="22">
        <f t="shared" si="2"/>
        <v>11603.965252248856</v>
      </c>
      <c r="F29" s="22">
        <f t="shared" si="2"/>
        <v>12566.442040028953</v>
      </c>
      <c r="G29" s="22">
        <f t="shared" si="2"/>
        <v>12939.381004064129</v>
      </c>
      <c r="H29" s="22">
        <f t="shared" si="2"/>
        <v>14268.096591839359</v>
      </c>
      <c r="I29" s="22">
        <f t="shared" si="2"/>
        <v>14896.59508357312</v>
      </c>
    </row>
    <row r="30" spans="1:10" ht="13.8" thickBot="1" x14ac:dyDescent="0.3">
      <c r="A30" s="65"/>
      <c r="B30" s="66"/>
      <c r="C30" s="66"/>
      <c r="D30" s="25"/>
      <c r="E30" s="25"/>
      <c r="F30" s="25"/>
      <c r="G30" s="25"/>
      <c r="H30" s="25"/>
      <c r="I30" s="25"/>
    </row>
    <row r="31" spans="1:10" ht="26.25" customHeight="1" thickBot="1" x14ac:dyDescent="0.3">
      <c r="A31" s="361" t="s">
        <v>60</v>
      </c>
      <c r="B31" s="357"/>
      <c r="C31" s="365"/>
      <c r="D31" s="22">
        <f t="shared" ref="D31:I31" si="3">D29/D5</f>
        <v>2495.7836196030398</v>
      </c>
      <c r="E31" s="22">
        <f t="shared" si="3"/>
        <v>2320.7930504497713</v>
      </c>
      <c r="F31" s="22">
        <f t="shared" si="3"/>
        <v>2284.8076436416277</v>
      </c>
      <c r="G31" s="22">
        <f t="shared" si="3"/>
        <v>2156.563500677355</v>
      </c>
      <c r="H31" s="22">
        <f t="shared" si="3"/>
        <v>2038.2995131199084</v>
      </c>
      <c r="I31" s="22">
        <f t="shared" si="3"/>
        <v>1862.07438544664</v>
      </c>
    </row>
    <row r="32" spans="1:10" ht="13.8" thickBot="1" x14ac:dyDescent="0.3">
      <c r="A32" s="65"/>
      <c r="B32" s="66"/>
      <c r="C32" s="66"/>
      <c r="D32" s="25"/>
      <c r="E32" s="25"/>
      <c r="F32" s="25"/>
      <c r="G32" s="25"/>
      <c r="H32" s="25"/>
      <c r="I32" s="25"/>
    </row>
    <row r="33" spans="1:10" ht="13.8" thickBot="1" x14ac:dyDescent="0.3">
      <c r="A33" s="63" t="s">
        <v>61</v>
      </c>
      <c r="B33" s="73"/>
      <c r="C33" s="73"/>
      <c r="D33" s="22">
        <f>'Pryse + Sensatiwiteitsanalise'!D4</f>
        <v>406.25</v>
      </c>
      <c r="E33" s="22">
        <f>$D$33</f>
        <v>406.25</v>
      </c>
      <c r="F33" s="22">
        <f>$D$33</f>
        <v>406.25</v>
      </c>
      <c r="G33" s="22">
        <f>$D$33</f>
        <v>406.25</v>
      </c>
      <c r="H33" s="22">
        <f>$D$33</f>
        <v>406.25</v>
      </c>
      <c r="I33" s="22">
        <f>$D$33</f>
        <v>406.25</v>
      </c>
    </row>
    <row r="34" spans="1:10" ht="13.8" thickBot="1" x14ac:dyDescent="0.3">
      <c r="A34" s="65"/>
      <c r="B34" s="66"/>
      <c r="C34" s="66"/>
      <c r="D34" s="25"/>
      <c r="E34" s="25"/>
      <c r="F34" s="25"/>
      <c r="G34" s="25"/>
      <c r="H34" s="25"/>
      <c r="I34" s="25"/>
    </row>
    <row r="35" spans="1:10" ht="13.8" thickBot="1" x14ac:dyDescent="0.3">
      <c r="A35" s="356" t="s">
        <v>62</v>
      </c>
      <c r="B35" s="357"/>
      <c r="C35" s="365"/>
      <c r="D35" s="24">
        <f t="shared" ref="D35:I35" si="4">D31+D33</f>
        <v>2902.0336196030398</v>
      </c>
      <c r="E35" s="24">
        <f t="shared" si="4"/>
        <v>2727.0430504497713</v>
      </c>
      <c r="F35" s="24">
        <f t="shared" si="4"/>
        <v>2691.0576436416277</v>
      </c>
      <c r="G35" s="24">
        <f t="shared" si="4"/>
        <v>2562.813500677355</v>
      </c>
      <c r="H35" s="24">
        <f t="shared" si="4"/>
        <v>2444.5495131199086</v>
      </c>
      <c r="I35" s="24">
        <f t="shared" si="4"/>
        <v>2268.32438544664</v>
      </c>
    </row>
    <row r="36" spans="1:10" ht="13.8" thickBot="1" x14ac:dyDescent="0.3">
      <c r="A36" s="59" t="s">
        <v>73</v>
      </c>
      <c r="B36" s="60"/>
      <c r="C36" s="61"/>
      <c r="D36" s="24">
        <f>'Pryse + Sensatiwiteitsanalise'!B4</f>
        <v>4177</v>
      </c>
      <c r="E36" s="24">
        <f>$D$36</f>
        <v>4177</v>
      </c>
      <c r="F36" s="24">
        <f>$D$36</f>
        <v>4177</v>
      </c>
      <c r="G36" s="24">
        <f>$D$36</f>
        <v>4177</v>
      </c>
      <c r="H36" s="24">
        <f>$D$36</f>
        <v>4177</v>
      </c>
      <c r="I36" s="24">
        <f>$D$36</f>
        <v>4177</v>
      </c>
    </row>
    <row r="37" spans="1:10" ht="14.4" x14ac:dyDescent="0.25">
      <c r="A37" s="83" t="s">
        <v>66</v>
      </c>
      <c r="B37" s="82"/>
      <c r="C37" s="82"/>
      <c r="D37" s="82"/>
      <c r="E37" s="82"/>
      <c r="F37" s="82"/>
      <c r="G37" s="82"/>
      <c r="H37" s="81"/>
      <c r="I37" s="84"/>
      <c r="J37" s="84"/>
    </row>
    <row r="38" spans="1:10" ht="14.4" x14ac:dyDescent="0.25">
      <c r="A38" s="80" t="s">
        <v>67</v>
      </c>
      <c r="B38" s="79"/>
      <c r="C38" s="79"/>
      <c r="D38" s="79"/>
      <c r="E38" s="79"/>
      <c r="F38" s="79"/>
      <c r="G38" s="79"/>
      <c r="H38" s="78"/>
      <c r="I38" s="84"/>
      <c r="J38" s="84"/>
    </row>
    <row r="39" spans="1:10" ht="15" thickBot="1" x14ac:dyDescent="0.3">
      <c r="A39" s="77" t="s">
        <v>68</v>
      </c>
      <c r="B39" s="76"/>
      <c r="C39" s="76"/>
      <c r="D39" s="76"/>
      <c r="E39" s="76"/>
      <c r="F39" s="76"/>
      <c r="G39" s="76"/>
      <c r="H39" s="75"/>
      <c r="I39" s="84"/>
      <c r="J39" s="84"/>
    </row>
    <row r="40" spans="1:10" x14ac:dyDescent="0.25">
      <c r="A40" s="366" t="s">
        <v>69</v>
      </c>
      <c r="B40" s="367"/>
      <c r="C40" s="367"/>
      <c r="D40" s="367"/>
      <c r="E40" s="367"/>
      <c r="F40" s="367"/>
      <c r="G40" s="367"/>
      <c r="H40" s="368"/>
    </row>
    <row r="41" spans="1:10" x14ac:dyDescent="0.25">
      <c r="A41" s="369"/>
      <c r="B41" s="370"/>
      <c r="C41" s="370"/>
      <c r="D41" s="370"/>
      <c r="E41" s="370"/>
      <c r="F41" s="370"/>
      <c r="G41" s="370"/>
      <c r="H41" s="371"/>
    </row>
    <row r="42" spans="1:10" x14ac:dyDescent="0.25">
      <c r="A42" s="369"/>
      <c r="B42" s="370"/>
      <c r="C42" s="370"/>
      <c r="D42" s="370"/>
      <c r="E42" s="370"/>
      <c r="F42" s="370"/>
      <c r="G42" s="370"/>
      <c r="H42" s="371"/>
    </row>
    <row r="43" spans="1:10" ht="13.8" thickBot="1" x14ac:dyDescent="0.3">
      <c r="A43" s="372"/>
      <c r="B43" s="373"/>
      <c r="C43" s="373"/>
      <c r="D43" s="373"/>
      <c r="E43" s="373"/>
      <c r="F43" s="373"/>
      <c r="G43" s="373"/>
      <c r="H43" s="374"/>
    </row>
  </sheetData>
  <mergeCells count="11">
    <mergeCell ref="K7:M7"/>
    <mergeCell ref="A29:C29"/>
    <mergeCell ref="A31:C31"/>
    <mergeCell ref="A35:C35"/>
    <mergeCell ref="A40:H43"/>
    <mergeCell ref="A27:C27"/>
    <mergeCell ref="A1:D1"/>
    <mergeCell ref="E1:G1"/>
    <mergeCell ref="A3:C3"/>
    <mergeCell ref="A8:C8"/>
    <mergeCell ref="A25:C25"/>
  </mergeCells>
  <phoneticPr fontId="0" type="noConversion"/>
  <pageMargins left="0.23622047244094491" right="0.23622047244094491" top="0.74803149606299213" bottom="0.74803149606299213" header="0.31496062992125984" footer="0.31496062992125984"/>
  <pageSetup paperSize="9" scale="70" fitToHeight="0" orientation="portrait" verticalDpi="300" r:id="rId1"/>
  <headerFooter alignWithMargins="0">
    <oddHeader>&amp;F</oddHeader>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7"/>
  <sheetViews>
    <sheetView zoomScale="70" zoomScaleNormal="70" workbookViewId="0">
      <selection activeCell="E3" sqref="E3"/>
    </sheetView>
  </sheetViews>
  <sheetFormatPr defaultColWidth="9.109375" defaultRowHeight="14.4" x14ac:dyDescent="0.3"/>
  <cols>
    <col min="1" max="1" width="47.88671875" style="142" customWidth="1"/>
    <col min="2" max="2" width="13.33203125" style="142" customWidth="1"/>
    <col min="3" max="3" width="26.6640625" style="142" customWidth="1"/>
    <col min="4" max="4" width="16.109375" style="142" customWidth="1"/>
    <col min="5" max="6" width="14.33203125" style="142" customWidth="1"/>
    <col min="7" max="7" width="14.88671875" style="142" customWidth="1"/>
    <col min="8" max="8" width="14.5546875" style="142" customWidth="1"/>
    <col min="9" max="9" width="16.33203125" style="142" customWidth="1"/>
    <col min="10" max="10" width="14.44140625" style="142" customWidth="1"/>
    <col min="11" max="26" width="12.6640625" style="142" customWidth="1"/>
    <col min="27" max="16384" width="9.109375" style="142"/>
  </cols>
  <sheetData>
    <row r="1" spans="1:13" ht="30" customHeight="1" thickBot="1" x14ac:dyDescent="0.35">
      <c r="A1" s="328" t="s">
        <v>154</v>
      </c>
      <c r="B1" s="329"/>
      <c r="C1" s="329"/>
      <c r="D1" s="329"/>
      <c r="E1" s="140"/>
      <c r="F1" s="330" t="s">
        <v>31</v>
      </c>
      <c r="G1" s="330"/>
      <c r="H1" s="330"/>
      <c r="I1" s="219"/>
    </row>
    <row r="2" spans="1:13" ht="15" thickBot="1" x14ac:dyDescent="0.35">
      <c r="A2" s="143"/>
      <c r="B2" s="144"/>
      <c r="C2" s="145"/>
      <c r="D2" s="145"/>
      <c r="E2" s="145"/>
      <c r="F2" s="145"/>
      <c r="G2" s="145"/>
      <c r="H2" s="145"/>
      <c r="I2" s="146"/>
    </row>
    <row r="3" spans="1:13" ht="31.2" customHeight="1" thickBot="1" x14ac:dyDescent="0.35">
      <c r="A3" s="336" t="s">
        <v>32</v>
      </c>
      <c r="B3" s="349"/>
      <c r="C3" s="349"/>
      <c r="D3" s="147"/>
      <c r="E3" s="202">
        <f>'Pryse + Sensatiwiteitsanalise'!B19</f>
        <v>3770.75</v>
      </c>
      <c r="F3" s="147" t="s">
        <v>33</v>
      </c>
      <c r="G3" s="149"/>
      <c r="H3" s="149"/>
      <c r="I3" s="150"/>
    </row>
    <row r="4" spans="1:13" ht="15" thickBot="1" x14ac:dyDescent="0.35">
      <c r="A4" s="151"/>
      <c r="B4" s="152"/>
      <c r="C4" s="152"/>
      <c r="D4" s="153"/>
      <c r="E4" s="154"/>
      <c r="F4" s="155"/>
      <c r="G4" s="156"/>
      <c r="H4" s="157"/>
      <c r="I4" s="157"/>
    </row>
    <row r="5" spans="1:13" ht="15" thickBot="1" x14ac:dyDescent="0.35">
      <c r="A5" s="151" t="s">
        <v>34</v>
      </c>
      <c r="B5" s="152"/>
      <c r="C5" s="152"/>
      <c r="D5" s="158">
        <v>4.5</v>
      </c>
      <c r="E5" s="158">
        <v>5</v>
      </c>
      <c r="F5" s="158">
        <v>5.5</v>
      </c>
      <c r="G5" s="158">
        <v>6</v>
      </c>
      <c r="H5" s="158">
        <v>7</v>
      </c>
      <c r="I5" s="158">
        <v>8</v>
      </c>
    </row>
    <row r="6" spans="1:13" ht="15" thickBot="1" x14ac:dyDescent="0.35">
      <c r="A6" s="159" t="s">
        <v>35</v>
      </c>
      <c r="B6" s="160"/>
      <c r="C6" s="161"/>
      <c r="D6" s="162">
        <v>17790.806250000001</v>
      </c>
      <c r="E6" s="162">
        <v>19767.5625</v>
      </c>
      <c r="F6" s="162">
        <v>21744.318750000002</v>
      </c>
      <c r="G6" s="162">
        <v>23721.075000000001</v>
      </c>
      <c r="H6" s="162">
        <v>27674.587500000001</v>
      </c>
      <c r="I6" s="162">
        <v>31628.100000000002</v>
      </c>
    </row>
    <row r="7" spans="1:13" ht="15" thickBot="1" x14ac:dyDescent="0.35">
      <c r="A7" s="163"/>
      <c r="B7" s="164"/>
      <c r="C7" s="164"/>
      <c r="D7" s="220"/>
      <c r="E7" s="220"/>
      <c r="F7" s="220"/>
      <c r="G7" s="220"/>
      <c r="H7" s="220"/>
      <c r="I7" s="220"/>
      <c r="K7" s="345"/>
      <c r="L7" s="345"/>
      <c r="M7" s="345"/>
    </row>
    <row r="8" spans="1:13" ht="15" thickBot="1" x14ac:dyDescent="0.35">
      <c r="A8" s="378" t="s">
        <v>36</v>
      </c>
      <c r="B8" s="379"/>
      <c r="C8" s="380"/>
      <c r="D8" s="221"/>
      <c r="E8" s="221"/>
      <c r="F8" s="221"/>
      <c r="G8" s="221"/>
      <c r="H8" s="221"/>
      <c r="I8" s="221"/>
      <c r="K8" s="167"/>
      <c r="L8" s="167"/>
      <c r="M8" s="167"/>
    </row>
    <row r="9" spans="1:13" x14ac:dyDescent="0.3">
      <c r="A9" s="168" t="s">
        <v>40</v>
      </c>
      <c r="B9" s="169"/>
      <c r="C9" s="169"/>
      <c r="D9" s="170">
        <v>2681.1125000000002</v>
      </c>
      <c r="E9" s="170">
        <v>2681.1125000000002</v>
      </c>
      <c r="F9" s="170">
        <v>3405.7374999999997</v>
      </c>
      <c r="G9" s="170">
        <v>3405.7374999999997</v>
      </c>
      <c r="H9" s="170">
        <v>4130.3625000000002</v>
      </c>
      <c r="I9" s="170">
        <v>4130.3625000000002</v>
      </c>
      <c r="K9" s="171"/>
      <c r="L9" s="171"/>
      <c r="M9" s="171"/>
    </row>
    <row r="10" spans="1:13" x14ac:dyDescent="0.3">
      <c r="A10" s="172" t="s">
        <v>41</v>
      </c>
      <c r="B10" s="173"/>
      <c r="C10" s="173"/>
      <c r="D10" s="174">
        <v>6099.7150000000011</v>
      </c>
      <c r="E10" s="174">
        <v>6766.35</v>
      </c>
      <c r="F10" s="174">
        <v>7432.9850000000006</v>
      </c>
      <c r="G10" s="174">
        <v>8099.62</v>
      </c>
      <c r="H10" s="174">
        <v>9432.89</v>
      </c>
      <c r="I10" s="174">
        <v>10766.16</v>
      </c>
      <c r="K10" s="171"/>
      <c r="L10" s="171"/>
      <c r="M10" s="171"/>
    </row>
    <row r="11" spans="1:13" x14ac:dyDescent="0.3">
      <c r="A11" s="172" t="s">
        <v>42</v>
      </c>
      <c r="B11" s="173"/>
      <c r="C11" s="173"/>
      <c r="D11" s="174">
        <v>266.40000000000003</v>
      </c>
      <c r="E11" s="174">
        <v>266.40000000000003</v>
      </c>
      <c r="F11" s="174">
        <v>266.40000000000003</v>
      </c>
      <c r="G11" s="174">
        <v>266.40000000000003</v>
      </c>
      <c r="H11" s="174">
        <v>266.40000000000003</v>
      </c>
      <c r="I11" s="174">
        <v>266.40000000000003</v>
      </c>
      <c r="K11" s="171"/>
      <c r="L11" s="171"/>
      <c r="M11" s="171"/>
    </row>
    <row r="12" spans="1:13" x14ac:dyDescent="0.3">
      <c r="A12" s="172" t="s">
        <v>43</v>
      </c>
      <c r="B12" s="173"/>
      <c r="C12" s="173"/>
      <c r="D12" s="174">
        <v>1115.2634399999999</v>
      </c>
      <c r="E12" s="174">
        <v>1154.2934399999999</v>
      </c>
      <c r="F12" s="174">
        <v>1193.3234399999999</v>
      </c>
      <c r="G12" s="174">
        <v>1232.3534399999999</v>
      </c>
      <c r="H12" s="174">
        <v>1297.40344</v>
      </c>
      <c r="I12" s="174">
        <v>1362.45344</v>
      </c>
      <c r="K12" s="171"/>
      <c r="L12" s="171"/>
      <c r="M12" s="171"/>
    </row>
    <row r="13" spans="1:13" x14ac:dyDescent="0.3">
      <c r="A13" s="172" t="s">
        <v>44</v>
      </c>
      <c r="B13" s="173"/>
      <c r="C13" s="173"/>
      <c r="D13" s="174">
        <v>1074.2849999999999</v>
      </c>
      <c r="E13" s="174">
        <v>1079.0383333333334</v>
      </c>
      <c r="F13" s="174">
        <v>1083.7916666666665</v>
      </c>
      <c r="G13" s="174">
        <v>1088.5450000000001</v>
      </c>
      <c r="H13" s="174">
        <v>1098.0516666666667</v>
      </c>
      <c r="I13" s="174">
        <v>1107.5583333333334</v>
      </c>
      <c r="K13" s="171"/>
      <c r="L13" s="171"/>
      <c r="M13" s="171"/>
    </row>
    <row r="14" spans="1:13" x14ac:dyDescent="0.3">
      <c r="A14" s="172" t="s">
        <v>45</v>
      </c>
      <c r="B14" s="173"/>
      <c r="C14" s="173"/>
      <c r="D14" s="174">
        <v>1605.48</v>
      </c>
      <c r="E14" s="174">
        <v>1605.48</v>
      </c>
      <c r="F14" s="174">
        <v>1605.48</v>
      </c>
      <c r="G14" s="174">
        <v>1605.48</v>
      </c>
      <c r="H14" s="174">
        <v>1605.48</v>
      </c>
      <c r="I14" s="174">
        <v>1605.48</v>
      </c>
      <c r="K14" s="171"/>
      <c r="L14" s="171"/>
      <c r="M14" s="171"/>
    </row>
    <row r="15" spans="1:13" x14ac:dyDescent="0.3">
      <c r="A15" s="172" t="s">
        <v>46</v>
      </c>
      <c r="B15" s="173"/>
      <c r="C15" s="173"/>
      <c r="D15" s="174">
        <v>768.46799999999996</v>
      </c>
      <c r="E15" s="174">
        <v>768.46799999999996</v>
      </c>
      <c r="F15" s="174">
        <v>768.46799999999996</v>
      </c>
      <c r="G15" s="174">
        <v>768.46799999999996</v>
      </c>
      <c r="H15" s="174">
        <v>768.46799999999996</v>
      </c>
      <c r="I15" s="174">
        <v>768.46799999999996</v>
      </c>
    </row>
    <row r="16" spans="1:13" x14ac:dyDescent="0.3">
      <c r="A16" s="172" t="s">
        <v>47</v>
      </c>
      <c r="B16" s="173"/>
      <c r="C16" s="173"/>
      <c r="D16" s="203"/>
      <c r="E16" s="203"/>
      <c r="F16" s="203"/>
      <c r="G16" s="203"/>
      <c r="H16" s="203"/>
      <c r="I16" s="203"/>
    </row>
    <row r="17" spans="1:10" x14ac:dyDescent="0.3">
      <c r="A17" s="172" t="s">
        <v>49</v>
      </c>
      <c r="B17" s="173"/>
      <c r="C17" s="173"/>
      <c r="D17" s="174">
        <v>1468.0857225002919</v>
      </c>
      <c r="E17" s="174">
        <v>1546.2460343085638</v>
      </c>
      <c r="F17" s="174">
        <v>1694.3927357608056</v>
      </c>
      <c r="G17" s="174">
        <v>1772.5530475690778</v>
      </c>
      <c r="H17" s="174">
        <v>1997.603517197688</v>
      </c>
      <c r="I17" s="174">
        <v>1997.6056701916771</v>
      </c>
    </row>
    <row r="18" spans="1:10" x14ac:dyDescent="0.3">
      <c r="A18" s="172" t="str">
        <f>'Yellow-Roundup R mielies '!A17</f>
        <v>Besproeiingskoste / Irrigation costs</v>
      </c>
      <c r="B18" s="173"/>
      <c r="C18" s="173"/>
      <c r="D18" s="203"/>
      <c r="E18" s="203"/>
      <c r="F18" s="203"/>
      <c r="G18" s="203"/>
      <c r="H18" s="203"/>
      <c r="I18" s="203"/>
    </row>
    <row r="19" spans="1:10" x14ac:dyDescent="0.3">
      <c r="A19" s="172" t="s">
        <v>50</v>
      </c>
      <c r="B19" s="173"/>
      <c r="C19" s="173"/>
      <c r="D19" s="203"/>
      <c r="E19" s="203"/>
      <c r="F19" s="203"/>
      <c r="G19" s="203"/>
      <c r="H19" s="203"/>
      <c r="I19" s="203"/>
    </row>
    <row r="20" spans="1:10" x14ac:dyDescent="0.3">
      <c r="A20" s="172" t="s">
        <v>51</v>
      </c>
      <c r="B20" s="173"/>
      <c r="C20" s="173"/>
      <c r="D20" s="174">
        <v>889.54031250000014</v>
      </c>
      <c r="E20" s="174">
        <v>988.37812500000007</v>
      </c>
      <c r="F20" s="174">
        <v>1087.2159375000001</v>
      </c>
      <c r="G20" s="174">
        <v>1186.05375</v>
      </c>
      <c r="H20" s="174">
        <v>1383.7293750000001</v>
      </c>
      <c r="I20" s="174">
        <v>1581.4050000000002</v>
      </c>
    </row>
    <row r="21" spans="1:10" x14ac:dyDescent="0.3">
      <c r="A21" s="172" t="s">
        <v>52</v>
      </c>
      <c r="B21" s="173"/>
      <c r="C21" s="173"/>
      <c r="D21" s="174">
        <v>200</v>
      </c>
      <c r="E21" s="174">
        <v>200</v>
      </c>
      <c r="F21" s="174">
        <v>200</v>
      </c>
      <c r="G21" s="174">
        <v>200</v>
      </c>
      <c r="H21" s="174">
        <v>200</v>
      </c>
      <c r="I21" s="174">
        <v>200</v>
      </c>
    </row>
    <row r="22" spans="1:10" x14ac:dyDescent="0.3">
      <c r="A22" s="172" t="s">
        <v>53</v>
      </c>
      <c r="B22" s="173"/>
      <c r="C22" s="173"/>
      <c r="D22" s="174">
        <v>500</v>
      </c>
      <c r="E22" s="174">
        <v>500</v>
      </c>
      <c r="F22" s="174">
        <v>500</v>
      </c>
      <c r="G22" s="174">
        <v>500</v>
      </c>
      <c r="H22" s="174">
        <v>500</v>
      </c>
      <c r="I22" s="174">
        <v>500</v>
      </c>
    </row>
    <row r="23" spans="1:10" x14ac:dyDescent="0.3">
      <c r="A23" s="172" t="s">
        <v>54</v>
      </c>
      <c r="B23" s="173"/>
      <c r="C23" s="173"/>
      <c r="D23" s="203"/>
      <c r="E23" s="203"/>
      <c r="F23" s="203"/>
      <c r="G23" s="203"/>
      <c r="H23" s="203"/>
      <c r="I23" s="203"/>
    </row>
    <row r="24" spans="1:10" x14ac:dyDescent="0.3">
      <c r="A24" s="172" t="s">
        <v>55</v>
      </c>
      <c r="B24" s="173"/>
      <c r="C24" s="173"/>
      <c r="D24" s="203"/>
      <c r="E24" s="203"/>
      <c r="F24" s="203"/>
      <c r="G24" s="203"/>
      <c r="H24" s="203"/>
      <c r="I24" s="203"/>
    </row>
    <row r="25" spans="1:10" ht="15" thickBot="1" x14ac:dyDescent="0.35">
      <c r="A25" s="172" t="s">
        <v>56</v>
      </c>
      <c r="B25" s="173"/>
      <c r="C25" s="173"/>
      <c r="D25" s="174">
        <v>1020.9364359687683</v>
      </c>
      <c r="E25" s="174">
        <v>1075.2906939993163</v>
      </c>
      <c r="F25" s="174">
        <v>1178.3148996455577</v>
      </c>
      <c r="G25" s="174">
        <v>1232.6691576761061</v>
      </c>
      <c r="H25" s="174">
        <v>1389.1737955554418</v>
      </c>
      <c r="I25" s="174">
        <v>1487.5109427909072</v>
      </c>
    </row>
    <row r="26" spans="1:10" ht="15" thickBot="1" x14ac:dyDescent="0.35">
      <c r="A26" s="336" t="s">
        <v>57</v>
      </c>
      <c r="B26" s="337"/>
      <c r="C26" s="338"/>
      <c r="D26" s="175">
        <f>SUM(D9:D25)</f>
        <v>17689.286410969064</v>
      </c>
      <c r="E26" s="175">
        <f t="shared" ref="E26:H26" si="0">SUM(E9:E25)</f>
        <v>18631.057126641215</v>
      </c>
      <c r="F26" s="175">
        <f t="shared" si="0"/>
        <v>20416.109179573028</v>
      </c>
      <c r="G26" s="175">
        <f t="shared" si="0"/>
        <v>21357.879895245183</v>
      </c>
      <c r="H26" s="175">
        <f t="shared" si="0"/>
        <v>24069.562294419793</v>
      </c>
      <c r="I26" s="175">
        <f>SUM(I9:I25)</f>
        <v>25773.403886315918</v>
      </c>
    </row>
    <row r="27" spans="1:10" ht="15" thickBot="1" x14ac:dyDescent="0.35">
      <c r="A27" s="176"/>
      <c r="B27" s="177"/>
      <c r="C27" s="177"/>
      <c r="D27" s="178"/>
      <c r="E27" s="178"/>
      <c r="F27" s="178"/>
      <c r="G27" s="178"/>
      <c r="H27" s="178"/>
      <c r="I27" s="178"/>
    </row>
    <row r="28" spans="1:10" ht="15" thickBot="1" x14ac:dyDescent="0.35">
      <c r="A28" s="346" t="s">
        <v>58</v>
      </c>
      <c r="B28" s="347"/>
      <c r="C28" s="348"/>
      <c r="D28" s="179">
        <v>5431.87</v>
      </c>
      <c r="E28" s="175">
        <v>5431.87</v>
      </c>
      <c r="F28" s="175">
        <v>5431.87</v>
      </c>
      <c r="G28" s="175">
        <v>5431.87</v>
      </c>
      <c r="H28" s="175">
        <v>5431.87</v>
      </c>
      <c r="I28" s="175">
        <v>5431.87</v>
      </c>
      <c r="J28" s="180"/>
    </row>
    <row r="29" spans="1:10" ht="15" thickBot="1" x14ac:dyDescent="0.35">
      <c r="A29" s="176"/>
      <c r="B29" s="177"/>
      <c r="C29" s="177"/>
      <c r="D29" s="178"/>
      <c r="E29" s="178"/>
      <c r="F29" s="178"/>
      <c r="G29" s="178"/>
      <c r="H29" s="178"/>
      <c r="I29" s="178"/>
    </row>
    <row r="30" spans="1:10" ht="15" thickBot="1" x14ac:dyDescent="0.35">
      <c r="A30" s="336" t="s">
        <v>59</v>
      </c>
      <c r="B30" s="337"/>
      <c r="C30" s="338"/>
      <c r="D30" s="175">
        <f>D26+D28</f>
        <v>23121.156410969063</v>
      </c>
      <c r="E30" s="175">
        <f t="shared" ref="E30:I30" si="1">E26+E28</f>
        <v>24062.927126641214</v>
      </c>
      <c r="F30" s="175">
        <f t="shared" si="1"/>
        <v>25847.979179573027</v>
      </c>
      <c r="G30" s="175">
        <f t="shared" si="1"/>
        <v>26789.749895245182</v>
      </c>
      <c r="H30" s="175">
        <f t="shared" si="1"/>
        <v>29501.432294419792</v>
      </c>
      <c r="I30" s="175">
        <f t="shared" si="1"/>
        <v>31205.273886315917</v>
      </c>
    </row>
    <row r="31" spans="1:10" ht="15" thickBot="1" x14ac:dyDescent="0.35">
      <c r="A31" s="163"/>
      <c r="B31" s="164"/>
      <c r="C31" s="164"/>
      <c r="D31" s="181"/>
      <c r="E31" s="181"/>
      <c r="F31" s="181"/>
      <c r="G31" s="181"/>
      <c r="H31" s="181"/>
      <c r="I31" s="181"/>
    </row>
    <row r="32" spans="1:10" ht="15" thickBot="1" x14ac:dyDescent="0.35">
      <c r="A32" s="336" t="s">
        <v>60</v>
      </c>
      <c r="B32" s="349"/>
      <c r="C32" s="350"/>
      <c r="D32" s="175">
        <f>D30/D5</f>
        <v>5138.0347579931249</v>
      </c>
      <c r="E32" s="175">
        <f t="shared" ref="E32:I32" si="2">E30/E5</f>
        <v>4812.5854253282432</v>
      </c>
      <c r="F32" s="175">
        <f t="shared" si="2"/>
        <v>4699.6325781041869</v>
      </c>
      <c r="G32" s="175">
        <f t="shared" si="2"/>
        <v>4464.9583158741971</v>
      </c>
      <c r="H32" s="175">
        <f t="shared" si="2"/>
        <v>4214.490327774256</v>
      </c>
      <c r="I32" s="175">
        <f t="shared" si="2"/>
        <v>3900.6592357894897</v>
      </c>
    </row>
    <row r="33" spans="1:10" ht="15" thickBot="1" x14ac:dyDescent="0.35">
      <c r="A33" s="163"/>
      <c r="B33" s="164"/>
      <c r="C33" s="164"/>
      <c r="D33" s="181"/>
      <c r="E33" s="181"/>
      <c r="F33" s="181"/>
      <c r="G33" s="181"/>
      <c r="H33" s="181"/>
      <c r="I33" s="181"/>
    </row>
    <row r="34" spans="1:10" ht="15" thickBot="1" x14ac:dyDescent="0.35">
      <c r="A34" s="159" t="s">
        <v>61</v>
      </c>
      <c r="B34" s="160"/>
      <c r="C34" s="160"/>
      <c r="D34" s="175">
        <f>'Yellow-Roundup R mielies '!D34</f>
        <v>406.25</v>
      </c>
      <c r="E34" s="175">
        <f>'Yellow-Roundup R mielies '!E34</f>
        <v>406.25</v>
      </c>
      <c r="F34" s="175">
        <f>'Yellow-Roundup R mielies '!F34</f>
        <v>406.25</v>
      </c>
      <c r="G34" s="175">
        <f>'Yellow-Roundup R mielies '!G34</f>
        <v>406.25</v>
      </c>
      <c r="H34" s="175">
        <f>'Yellow-Roundup R mielies '!H34</f>
        <v>406.25</v>
      </c>
      <c r="I34" s="175">
        <f>'Yellow-Roundup R mielies '!I34</f>
        <v>406.25</v>
      </c>
    </row>
    <row r="35" spans="1:10" ht="15" thickBot="1" x14ac:dyDescent="0.35">
      <c r="A35" s="163"/>
      <c r="B35" s="164"/>
      <c r="C35" s="164"/>
      <c r="D35" s="181"/>
      <c r="E35" s="181"/>
      <c r="F35" s="181"/>
      <c r="G35" s="181"/>
      <c r="H35" s="181"/>
      <c r="I35" s="181"/>
    </row>
    <row r="36" spans="1:10" ht="15" thickBot="1" x14ac:dyDescent="0.35">
      <c r="A36" s="328" t="s">
        <v>62</v>
      </c>
      <c r="B36" s="351"/>
      <c r="C36" s="352"/>
      <c r="D36" s="182">
        <f>D32+D34</f>
        <v>5544.2847579931249</v>
      </c>
      <c r="E36" s="182">
        <f t="shared" ref="E36:I36" si="3">E32+E34</f>
        <v>5218.8354253282432</v>
      </c>
      <c r="F36" s="182">
        <f t="shared" si="3"/>
        <v>5105.8825781041869</v>
      </c>
      <c r="G36" s="182">
        <f t="shared" si="3"/>
        <v>4871.2083158741971</v>
      </c>
      <c r="H36" s="182">
        <f t="shared" si="3"/>
        <v>4620.740327774256</v>
      </c>
      <c r="I36" s="182">
        <f t="shared" si="3"/>
        <v>4306.9092357894897</v>
      </c>
    </row>
    <row r="37" spans="1:10" ht="15" thickBot="1" x14ac:dyDescent="0.35">
      <c r="A37" s="183" t="s">
        <v>63</v>
      </c>
      <c r="B37" s="184"/>
      <c r="C37" s="185"/>
      <c r="D37" s="182">
        <f>'Pryse + Sensatiwiteitsanalise'!B4</f>
        <v>4177</v>
      </c>
      <c r="E37" s="182">
        <f>$D$37</f>
        <v>4177</v>
      </c>
      <c r="F37" s="182">
        <f>$D$37</f>
        <v>4177</v>
      </c>
      <c r="G37" s="182">
        <f>$D$37</f>
        <v>4177</v>
      </c>
      <c r="H37" s="182">
        <f>$D$37</f>
        <v>4177</v>
      </c>
      <c r="I37" s="182">
        <f>$D$37</f>
        <v>4177</v>
      </c>
    </row>
    <row r="38" spans="1:10" ht="15" thickBot="1" x14ac:dyDescent="0.35">
      <c r="D38" s="186"/>
      <c r="E38" s="186"/>
      <c r="F38" s="186"/>
      <c r="G38" s="186"/>
      <c r="H38" s="186"/>
      <c r="I38" s="186"/>
    </row>
    <row r="39" spans="1:10" s="189" customFormat="1" x14ac:dyDescent="0.3">
      <c r="A39" s="339" t="s">
        <v>64</v>
      </c>
      <c r="B39" s="340"/>
      <c r="C39" s="341"/>
      <c r="D39" s="187">
        <f t="shared" ref="D39:I39" si="4">D6-D26</f>
        <v>101.51983903093787</v>
      </c>
      <c r="E39" s="188">
        <f t="shared" si="4"/>
        <v>1136.5053733587847</v>
      </c>
      <c r="F39" s="187">
        <f t="shared" si="4"/>
        <v>1328.2095704269741</v>
      </c>
      <c r="G39" s="188">
        <f t="shared" si="4"/>
        <v>2363.1951047548173</v>
      </c>
      <c r="H39" s="187">
        <f t="shared" si="4"/>
        <v>3605.0252055802084</v>
      </c>
      <c r="I39" s="187">
        <f t="shared" si="4"/>
        <v>5854.6961136840837</v>
      </c>
    </row>
    <row r="40" spans="1:10" s="189" customFormat="1" ht="15" thickBot="1" x14ac:dyDescent="0.35">
      <c r="A40" s="342" t="s">
        <v>65</v>
      </c>
      <c r="B40" s="343"/>
      <c r="C40" s="344"/>
      <c r="D40" s="210">
        <f t="shared" ref="D40:I40" si="5">D6-D30</f>
        <v>-5330.3501609690611</v>
      </c>
      <c r="E40" s="211">
        <f t="shared" si="5"/>
        <v>-4295.3646266412143</v>
      </c>
      <c r="F40" s="210">
        <f t="shared" si="5"/>
        <v>-4103.6604295730249</v>
      </c>
      <c r="G40" s="211">
        <f t="shared" si="5"/>
        <v>-3068.6748952451817</v>
      </c>
      <c r="H40" s="210">
        <f t="shared" si="5"/>
        <v>-1826.8447944197906</v>
      </c>
      <c r="I40" s="210">
        <f t="shared" si="5"/>
        <v>422.8261136840847</v>
      </c>
    </row>
    <row r="41" spans="1:10" x14ac:dyDescent="0.3">
      <c r="A41" s="205" t="s">
        <v>151</v>
      </c>
      <c r="B41" s="206"/>
      <c r="C41" s="206"/>
      <c r="D41" s="206"/>
      <c r="E41" s="206"/>
      <c r="F41" s="206"/>
      <c r="G41" s="206"/>
      <c r="H41" s="206"/>
      <c r="I41" s="213"/>
      <c r="J41" s="195"/>
    </row>
    <row r="42" spans="1:10" x14ac:dyDescent="0.3">
      <c r="A42" s="207" t="s">
        <v>67</v>
      </c>
      <c r="B42" s="212"/>
      <c r="C42" s="212"/>
      <c r="D42" s="212"/>
      <c r="E42" s="212"/>
      <c r="F42" s="212"/>
      <c r="G42" s="212"/>
      <c r="H42" s="212"/>
      <c r="I42" s="214"/>
      <c r="J42" s="195"/>
    </row>
    <row r="43" spans="1:10" ht="15" thickBot="1" x14ac:dyDescent="0.35">
      <c r="A43" s="208" t="s">
        <v>68</v>
      </c>
      <c r="B43" s="209"/>
      <c r="C43" s="209"/>
      <c r="D43" s="209"/>
      <c r="E43" s="209"/>
      <c r="F43" s="209"/>
      <c r="G43" s="209"/>
      <c r="H43" s="209"/>
      <c r="I43" s="215"/>
      <c r="J43" s="195"/>
    </row>
    <row r="44" spans="1:10" x14ac:dyDescent="0.3">
      <c r="A44" s="324" t="s">
        <v>69</v>
      </c>
      <c r="B44" s="325"/>
      <c r="C44" s="325"/>
      <c r="D44" s="325"/>
      <c r="E44" s="325"/>
      <c r="F44" s="325"/>
      <c r="G44" s="325"/>
      <c r="H44" s="325"/>
      <c r="I44" s="217"/>
    </row>
    <row r="45" spans="1:10" x14ac:dyDescent="0.3">
      <c r="A45" s="324"/>
      <c r="B45" s="325"/>
      <c r="C45" s="325"/>
      <c r="D45" s="325"/>
      <c r="E45" s="325"/>
      <c r="F45" s="325"/>
      <c r="G45" s="325"/>
      <c r="H45" s="325"/>
      <c r="I45" s="217"/>
    </row>
    <row r="46" spans="1:10" x14ac:dyDescent="0.3">
      <c r="A46" s="324"/>
      <c r="B46" s="325"/>
      <c r="C46" s="325"/>
      <c r="D46" s="325"/>
      <c r="E46" s="325"/>
      <c r="F46" s="325"/>
      <c r="G46" s="325"/>
      <c r="H46" s="325"/>
      <c r="I46" s="217"/>
    </row>
    <row r="47" spans="1:10" ht="15" thickBot="1" x14ac:dyDescent="0.35">
      <c r="A47" s="326"/>
      <c r="B47" s="327"/>
      <c r="C47" s="327"/>
      <c r="D47" s="327"/>
      <c r="E47" s="327"/>
      <c r="F47" s="327"/>
      <c r="G47" s="327"/>
      <c r="H47" s="327"/>
      <c r="I47" s="218"/>
    </row>
  </sheetData>
  <mergeCells count="13">
    <mergeCell ref="K7:M7"/>
    <mergeCell ref="A8:C8"/>
    <mergeCell ref="A26:C26"/>
    <mergeCell ref="A28:C28"/>
    <mergeCell ref="A30:C30"/>
    <mergeCell ref="A32:C32"/>
    <mergeCell ref="A36:C36"/>
    <mergeCell ref="A44:H47"/>
    <mergeCell ref="A1:D1"/>
    <mergeCell ref="F1:H1"/>
    <mergeCell ref="A3:C3"/>
    <mergeCell ref="A39:C39"/>
    <mergeCell ref="A40:C40"/>
  </mergeCells>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8" fitToHeight="0" orientation="portrait" verticalDpi="300" r:id="rId1"/>
  <headerFooter alignWithMargins="0">
    <oddHeader>&amp;F</oddHeader>
    <oddFooter>&amp;A&amp;RPage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7"/>
  <sheetViews>
    <sheetView zoomScale="70" zoomScaleNormal="70" workbookViewId="0">
      <selection activeCell="E3" sqref="E3"/>
    </sheetView>
  </sheetViews>
  <sheetFormatPr defaultColWidth="9.109375" defaultRowHeight="14.4" x14ac:dyDescent="0.3"/>
  <cols>
    <col min="1" max="1" width="42.88671875" style="142" customWidth="1"/>
    <col min="2" max="2" width="15.6640625" style="142" bestFit="1" customWidth="1"/>
    <col min="3" max="3" width="35" style="142" customWidth="1"/>
    <col min="4" max="4" width="14.44140625" style="142" customWidth="1"/>
    <col min="5" max="7" width="14.33203125" style="142" customWidth="1"/>
    <col min="8" max="8" width="14.44140625" style="142" customWidth="1"/>
    <col min="9" max="25" width="12.6640625" style="142" customWidth="1"/>
    <col min="26" max="16384" width="9.109375" style="142"/>
  </cols>
  <sheetData>
    <row r="1" spans="1:7" ht="30" customHeight="1" thickBot="1" x14ac:dyDescent="0.35">
      <c r="A1" s="328" t="s">
        <v>153</v>
      </c>
      <c r="B1" s="329"/>
      <c r="C1" s="329"/>
      <c r="D1" s="329"/>
      <c r="E1" s="330" t="s">
        <v>31</v>
      </c>
      <c r="F1" s="330"/>
      <c r="G1" s="330"/>
    </row>
    <row r="2" spans="1:7" ht="15" thickBot="1" x14ac:dyDescent="0.35">
      <c r="A2" s="143"/>
      <c r="B2" s="144"/>
      <c r="C2" s="145"/>
      <c r="D2" s="145"/>
      <c r="E2" s="145"/>
      <c r="F2" s="145"/>
      <c r="G2" s="145"/>
    </row>
    <row r="3" spans="1:7" ht="24.75" customHeight="1" thickBot="1" x14ac:dyDescent="0.35">
      <c r="A3" s="336" t="s">
        <v>32</v>
      </c>
      <c r="B3" s="349"/>
      <c r="C3" s="349"/>
      <c r="D3" s="147"/>
      <c r="E3" s="148">
        <f>'Pryse + Sensatiwiteitsanalise'!B19</f>
        <v>3770.75</v>
      </c>
      <c r="F3" s="147" t="s">
        <v>33</v>
      </c>
      <c r="G3" s="149"/>
    </row>
    <row r="4" spans="1:7" ht="15" thickBot="1" x14ac:dyDescent="0.35">
      <c r="A4" s="151"/>
      <c r="B4" s="152"/>
      <c r="C4" s="152"/>
      <c r="D4" s="153"/>
      <c r="E4" s="154"/>
      <c r="F4" s="155"/>
      <c r="G4" s="156"/>
    </row>
    <row r="5" spans="1:7" ht="15" thickBot="1" x14ac:dyDescent="0.35">
      <c r="A5" s="151" t="s">
        <v>34</v>
      </c>
      <c r="B5" s="152"/>
      <c r="C5" s="152"/>
      <c r="D5" s="158">
        <v>10</v>
      </c>
      <c r="E5" s="158">
        <v>12</v>
      </c>
      <c r="F5" s="158">
        <v>14</v>
      </c>
      <c r="G5" s="158">
        <v>16</v>
      </c>
    </row>
    <row r="6" spans="1:7" ht="15" thickBot="1" x14ac:dyDescent="0.35">
      <c r="A6" s="159" t="s">
        <v>35</v>
      </c>
      <c r="B6" s="160"/>
      <c r="C6" s="161"/>
      <c r="D6" s="162">
        <v>37652.5</v>
      </c>
      <c r="E6" s="162">
        <v>45183</v>
      </c>
      <c r="F6" s="162">
        <v>52713.5</v>
      </c>
      <c r="G6" s="162">
        <v>60244</v>
      </c>
    </row>
    <row r="7" spans="1:7" ht="15" thickBot="1" x14ac:dyDescent="0.35">
      <c r="A7" s="163"/>
      <c r="B7" s="164"/>
      <c r="C7" s="164"/>
      <c r="D7" s="165"/>
      <c r="E7" s="165"/>
      <c r="F7" s="165"/>
      <c r="G7" s="165"/>
    </row>
    <row r="8" spans="1:7" ht="15" thickBot="1" x14ac:dyDescent="0.35">
      <c r="A8" s="378" t="s">
        <v>36</v>
      </c>
      <c r="B8" s="379"/>
      <c r="C8" s="380"/>
      <c r="D8" s="166"/>
      <c r="E8" s="166"/>
      <c r="F8" s="166"/>
      <c r="G8" s="166"/>
    </row>
    <row r="9" spans="1:7" x14ac:dyDescent="0.3">
      <c r="A9" s="168" t="s">
        <v>81</v>
      </c>
      <c r="B9" s="169"/>
      <c r="C9" s="169"/>
      <c r="D9" s="170">
        <v>4110.5625</v>
      </c>
      <c r="E9" s="170">
        <v>4857.9375</v>
      </c>
      <c r="F9" s="170">
        <v>5231.625</v>
      </c>
      <c r="G9" s="170">
        <v>5605.3125</v>
      </c>
    </row>
    <row r="10" spans="1:7" x14ac:dyDescent="0.3">
      <c r="A10" s="172" t="s">
        <v>82</v>
      </c>
      <c r="B10" s="173"/>
      <c r="C10" s="173"/>
      <c r="D10" s="174">
        <v>14220.3</v>
      </c>
      <c r="E10" s="174">
        <v>17044.36</v>
      </c>
      <c r="F10" s="174">
        <v>19868.420000000002</v>
      </c>
      <c r="G10" s="174">
        <v>22692.480000000003</v>
      </c>
    </row>
    <row r="11" spans="1:7" x14ac:dyDescent="0.3">
      <c r="A11" s="172" t="s">
        <v>83</v>
      </c>
      <c r="B11" s="173"/>
      <c r="C11" s="173"/>
      <c r="D11" s="174">
        <v>800</v>
      </c>
      <c r="E11" s="174">
        <v>800</v>
      </c>
      <c r="F11" s="174">
        <v>800</v>
      </c>
      <c r="G11" s="174">
        <v>800</v>
      </c>
    </row>
    <row r="12" spans="1:7" x14ac:dyDescent="0.3">
      <c r="A12" s="172" t="s">
        <v>84</v>
      </c>
      <c r="B12" s="173"/>
      <c r="C12" s="173"/>
      <c r="D12" s="174">
        <v>2085.1505440000001</v>
      </c>
      <c r="E12" s="174">
        <v>2202.2405440000002</v>
      </c>
      <c r="F12" s="174">
        <v>2319.3305439999999</v>
      </c>
      <c r="G12" s="174">
        <v>2436.4205440000001</v>
      </c>
    </row>
    <row r="13" spans="1:7" x14ac:dyDescent="0.3">
      <c r="A13" s="172" t="s">
        <v>85</v>
      </c>
      <c r="B13" s="173"/>
      <c r="C13" s="173"/>
      <c r="D13" s="174">
        <v>1400.8020666666666</v>
      </c>
      <c r="E13" s="174">
        <v>1420.3154</v>
      </c>
      <c r="F13" s="174">
        <v>1439.8287333333333</v>
      </c>
      <c r="G13" s="174">
        <v>1459.3420666666666</v>
      </c>
    </row>
    <row r="14" spans="1:7" x14ac:dyDescent="0.3">
      <c r="A14" s="172" t="s">
        <v>86</v>
      </c>
      <c r="B14" s="173"/>
      <c r="C14" s="173"/>
      <c r="D14" s="174">
        <v>1146.48</v>
      </c>
      <c r="E14" s="174">
        <v>1125.672</v>
      </c>
      <c r="F14" s="174">
        <v>1125.672</v>
      </c>
      <c r="G14" s="174">
        <v>1125.672</v>
      </c>
    </row>
    <row r="15" spans="1:7" x14ac:dyDescent="0.3">
      <c r="A15" s="172" t="s">
        <v>87</v>
      </c>
      <c r="B15" s="173"/>
      <c r="C15" s="173"/>
      <c r="D15" s="174">
        <v>768.46799999999996</v>
      </c>
      <c r="E15" s="174">
        <v>768.46799999999996</v>
      </c>
      <c r="F15" s="174">
        <v>768.46799999999996</v>
      </c>
      <c r="G15" s="174">
        <v>768.46799999999996</v>
      </c>
    </row>
    <row r="16" spans="1:7" x14ac:dyDescent="0.3">
      <c r="A16" s="172" t="s">
        <v>88</v>
      </c>
      <c r="B16" s="173"/>
      <c r="C16" s="173"/>
      <c r="D16" s="174"/>
      <c r="E16" s="174"/>
      <c r="F16" s="174"/>
      <c r="G16" s="174"/>
    </row>
    <row r="17" spans="1:8" x14ac:dyDescent="0.3">
      <c r="A17" s="172" t="s">
        <v>89</v>
      </c>
      <c r="B17" s="173"/>
      <c r="C17" s="173"/>
      <c r="D17" s="174">
        <v>11848.4</v>
      </c>
      <c r="E17" s="174">
        <v>11848.4</v>
      </c>
      <c r="F17" s="174">
        <v>11848.4</v>
      </c>
      <c r="G17" s="174">
        <v>11848.4</v>
      </c>
    </row>
    <row r="18" spans="1:8" x14ac:dyDescent="0.3">
      <c r="A18" s="172" t="s">
        <v>90</v>
      </c>
      <c r="B18" s="173"/>
      <c r="C18" s="173"/>
      <c r="D18" s="174">
        <v>3763.1393759924931</v>
      </c>
      <c r="E18" s="174">
        <v>4155.628683118839</v>
      </c>
      <c r="F18" s="174">
        <v>4514.0358619935105</v>
      </c>
      <c r="G18" s="174">
        <v>4872.443040868181</v>
      </c>
    </row>
    <row r="19" spans="1:8" x14ac:dyDescent="0.3">
      <c r="A19" s="172" t="s">
        <v>91</v>
      </c>
      <c r="B19" s="173"/>
      <c r="C19" s="173"/>
      <c r="D19" s="174"/>
      <c r="E19" s="174"/>
      <c r="F19" s="174"/>
      <c r="G19" s="174"/>
    </row>
    <row r="20" spans="1:8" x14ac:dyDescent="0.3">
      <c r="A20" s="172" t="s">
        <v>92</v>
      </c>
      <c r="B20" s="173"/>
      <c r="C20" s="173"/>
      <c r="D20" s="174">
        <v>1882.625</v>
      </c>
      <c r="E20" s="174">
        <v>2259.15</v>
      </c>
      <c r="F20" s="174">
        <v>2635.6750000000002</v>
      </c>
      <c r="G20" s="174">
        <v>3012.2000000000003</v>
      </c>
    </row>
    <row r="21" spans="1:8" s="204" customFormat="1" x14ac:dyDescent="0.3">
      <c r="A21" s="172" t="s">
        <v>93</v>
      </c>
      <c r="B21" s="173"/>
      <c r="C21" s="173"/>
      <c r="D21" s="174">
        <v>200</v>
      </c>
      <c r="E21" s="174">
        <v>200</v>
      </c>
      <c r="F21" s="174">
        <v>200</v>
      </c>
      <c r="G21" s="174">
        <v>200</v>
      </c>
      <c r="H21" s="142"/>
    </row>
    <row r="22" spans="1:8" s="204" customFormat="1" x14ac:dyDescent="0.3">
      <c r="A22" s="172" t="s">
        <v>94</v>
      </c>
      <c r="B22" s="173"/>
      <c r="C22" s="173"/>
      <c r="D22" s="174">
        <v>500</v>
      </c>
      <c r="E22" s="174">
        <v>500</v>
      </c>
      <c r="F22" s="174">
        <v>500</v>
      </c>
      <c r="G22" s="174">
        <v>500</v>
      </c>
      <c r="H22" s="142"/>
    </row>
    <row r="23" spans="1:8" s="204" customFormat="1" x14ac:dyDescent="0.3">
      <c r="A23" s="172" t="s">
        <v>95</v>
      </c>
      <c r="B23" s="173"/>
      <c r="C23" s="173"/>
      <c r="D23" s="174"/>
      <c r="E23" s="174"/>
      <c r="F23" s="174"/>
      <c r="G23" s="174"/>
      <c r="H23" s="142"/>
    </row>
    <row r="24" spans="1:8" s="204" customFormat="1" x14ac:dyDescent="0.3">
      <c r="A24" s="172" t="s">
        <v>96</v>
      </c>
      <c r="B24" s="173"/>
      <c r="C24" s="173"/>
      <c r="D24" s="174"/>
      <c r="E24" s="174"/>
      <c r="F24" s="174"/>
      <c r="G24" s="174"/>
      <c r="H24" s="142"/>
    </row>
    <row r="25" spans="1:8" s="204" customFormat="1" ht="15" thickBot="1" x14ac:dyDescent="0.35">
      <c r="A25" s="172" t="s">
        <v>97</v>
      </c>
      <c r="B25" s="173"/>
      <c r="C25" s="173"/>
      <c r="D25" s="174">
        <v>2616.9630585578734</v>
      </c>
      <c r="E25" s="174">
        <v>2889.9080427860295</v>
      </c>
      <c r="F25" s="174">
        <v>3139.1516272837694</v>
      </c>
      <c r="G25" s="174">
        <v>3388.3952117815097</v>
      </c>
      <c r="H25" s="142"/>
    </row>
    <row r="26" spans="1:8" s="204" customFormat="1" ht="15" thickBot="1" x14ac:dyDescent="0.35">
      <c r="A26" s="336" t="s">
        <v>57</v>
      </c>
      <c r="B26" s="337"/>
      <c r="C26" s="338"/>
      <c r="D26" s="175">
        <f>SUM(D9:D25)</f>
        <v>45342.890545217029</v>
      </c>
      <c r="E26" s="175">
        <f>SUM(E9:E25)</f>
        <v>50072.080169904875</v>
      </c>
      <c r="F26" s="175">
        <f>SUM(F9:F25)</f>
        <v>54390.606766610617</v>
      </c>
      <c r="G26" s="175">
        <f>SUM(G9:G25)</f>
        <v>58709.133363316359</v>
      </c>
      <c r="H26" s="142"/>
    </row>
    <row r="27" spans="1:8" s="204" customFormat="1" ht="15" thickBot="1" x14ac:dyDescent="0.35">
      <c r="A27" s="176"/>
      <c r="B27" s="177"/>
      <c r="C27" s="177"/>
      <c r="D27" s="178"/>
      <c r="E27" s="178"/>
      <c r="F27" s="178"/>
      <c r="G27" s="178"/>
      <c r="H27" s="142"/>
    </row>
    <row r="28" spans="1:8" ht="15" thickBot="1" x14ac:dyDescent="0.35">
      <c r="A28" s="346" t="s">
        <v>58</v>
      </c>
      <c r="B28" s="347"/>
      <c r="C28" s="348"/>
      <c r="D28" s="179">
        <v>9055.08</v>
      </c>
      <c r="E28" s="175">
        <v>9055.08</v>
      </c>
      <c r="F28" s="175">
        <v>9055.08</v>
      </c>
      <c r="G28" s="175">
        <v>9055.08</v>
      </c>
      <c r="H28" s="180"/>
    </row>
    <row r="29" spans="1:8" ht="15" thickBot="1" x14ac:dyDescent="0.35">
      <c r="A29" s="176"/>
      <c r="B29" s="177"/>
      <c r="C29" s="177"/>
      <c r="D29" s="178"/>
      <c r="E29" s="178"/>
      <c r="F29" s="178"/>
      <c r="G29" s="178"/>
    </row>
    <row r="30" spans="1:8" ht="15" thickBot="1" x14ac:dyDescent="0.35">
      <c r="A30" s="336" t="s">
        <v>59</v>
      </c>
      <c r="B30" s="337"/>
      <c r="C30" s="338"/>
      <c r="D30" s="175">
        <f>D26+D28</f>
        <v>54397.970545217031</v>
      </c>
      <c r="E30" s="175">
        <f t="shared" ref="E30:G30" si="0">E26+E28</f>
        <v>59127.160169904877</v>
      </c>
      <c r="F30" s="175">
        <f t="shared" si="0"/>
        <v>63445.686766610619</v>
      </c>
      <c r="G30" s="175">
        <f t="shared" si="0"/>
        <v>67764.213363316361</v>
      </c>
    </row>
    <row r="31" spans="1:8" ht="15" thickBot="1" x14ac:dyDescent="0.35">
      <c r="A31" s="163"/>
      <c r="B31" s="164"/>
      <c r="C31" s="164"/>
      <c r="D31" s="181"/>
      <c r="E31" s="181"/>
      <c r="F31" s="181"/>
      <c r="G31" s="181"/>
    </row>
    <row r="32" spans="1:8" ht="15" thickBot="1" x14ac:dyDescent="0.35">
      <c r="A32" s="336" t="s">
        <v>60</v>
      </c>
      <c r="B32" s="349"/>
      <c r="C32" s="350"/>
      <c r="D32" s="175">
        <f>D30/D5</f>
        <v>5439.7970545217031</v>
      </c>
      <c r="E32" s="175">
        <f>E30/E5</f>
        <v>4927.2633474920731</v>
      </c>
      <c r="F32" s="175">
        <f>F30/F5</f>
        <v>4531.8347690436158</v>
      </c>
      <c r="G32" s="175">
        <f>G30/G5</f>
        <v>4235.2633352072726</v>
      </c>
    </row>
    <row r="33" spans="1:8" ht="15" thickBot="1" x14ac:dyDescent="0.35">
      <c r="A33" s="163"/>
      <c r="B33" s="164"/>
      <c r="C33" s="164"/>
      <c r="D33" s="181"/>
      <c r="E33" s="181"/>
      <c r="F33" s="181"/>
      <c r="G33" s="181"/>
    </row>
    <row r="34" spans="1:8" ht="15" thickBot="1" x14ac:dyDescent="0.35">
      <c r="A34" s="159" t="s">
        <v>61</v>
      </c>
      <c r="B34" s="160"/>
      <c r="C34" s="160"/>
      <c r="D34" s="175">
        <f>'Mielie Vermin Bewerk'!D34</f>
        <v>406.25</v>
      </c>
      <c r="E34" s="175">
        <f>'Mielie Vermin Bewerk'!E34</f>
        <v>406.25</v>
      </c>
      <c r="F34" s="175">
        <f>'Mielie Vermin Bewerk'!F34</f>
        <v>406.25</v>
      </c>
      <c r="G34" s="175">
        <f>'Mielie Vermin Bewerk'!G34</f>
        <v>406.25</v>
      </c>
    </row>
    <row r="35" spans="1:8" ht="15" thickBot="1" x14ac:dyDescent="0.35">
      <c r="A35" s="163"/>
      <c r="B35" s="164"/>
      <c r="C35" s="164"/>
      <c r="D35" s="181"/>
      <c r="E35" s="181"/>
      <c r="F35" s="181"/>
      <c r="G35" s="181"/>
    </row>
    <row r="36" spans="1:8" ht="15" thickBot="1" x14ac:dyDescent="0.35">
      <c r="A36" s="328" t="s">
        <v>62</v>
      </c>
      <c r="B36" s="351"/>
      <c r="C36" s="352"/>
      <c r="D36" s="182">
        <f>D32+D34</f>
        <v>5846.0470545217031</v>
      </c>
      <c r="E36" s="182">
        <f>E32+E34</f>
        <v>5333.5133474920731</v>
      </c>
      <c r="F36" s="182">
        <f>F32+F34</f>
        <v>4938.0847690436158</v>
      </c>
      <c r="G36" s="182">
        <f>G32+G34</f>
        <v>4641.5133352072726</v>
      </c>
    </row>
    <row r="37" spans="1:8" ht="15" thickBot="1" x14ac:dyDescent="0.35">
      <c r="A37" s="183" t="s">
        <v>63</v>
      </c>
      <c r="B37" s="184"/>
      <c r="C37" s="185"/>
      <c r="D37" s="182">
        <f>'Pryse + Sensatiwiteitsanalise'!B4</f>
        <v>4177</v>
      </c>
      <c r="E37" s="182">
        <f>$D$37</f>
        <v>4177</v>
      </c>
      <c r="F37" s="182">
        <f>$D$37</f>
        <v>4177</v>
      </c>
      <c r="G37" s="182">
        <f>$D$37</f>
        <v>4177</v>
      </c>
    </row>
    <row r="38" spans="1:8" ht="15" thickBot="1" x14ac:dyDescent="0.35">
      <c r="D38" s="186"/>
      <c r="E38" s="186"/>
      <c r="F38" s="186"/>
      <c r="G38" s="186"/>
    </row>
    <row r="39" spans="1:8" s="189" customFormat="1" x14ac:dyDescent="0.3">
      <c r="A39" s="339" t="s">
        <v>64</v>
      </c>
      <c r="B39" s="340"/>
      <c r="C39" s="341"/>
      <c r="D39" s="187">
        <f>D6-D26</f>
        <v>-7690.3905452170293</v>
      </c>
      <c r="E39" s="187">
        <f>E6-E26</f>
        <v>-4889.0801699048752</v>
      </c>
      <c r="F39" s="187">
        <f>F6-F26</f>
        <v>-1677.1067666106173</v>
      </c>
      <c r="G39" s="187">
        <f>G6-G26</f>
        <v>1534.8666366836405</v>
      </c>
    </row>
    <row r="40" spans="1:8" s="189" customFormat="1" ht="15" thickBot="1" x14ac:dyDescent="0.35">
      <c r="A40" s="390" t="s">
        <v>65</v>
      </c>
      <c r="B40" s="391"/>
      <c r="C40" s="392"/>
      <c r="D40" s="190">
        <f>D6-D30</f>
        <v>-16745.470545217031</v>
      </c>
      <c r="E40" s="190">
        <f>E6-E30</f>
        <v>-13944.160169904877</v>
      </c>
      <c r="F40" s="190">
        <f>F6-F30</f>
        <v>-10732.186766610619</v>
      </c>
      <c r="G40" s="190">
        <f>G6-G30</f>
        <v>-7520.2133633163612</v>
      </c>
    </row>
    <row r="41" spans="1:8" x14ac:dyDescent="0.3">
      <c r="A41" s="192" t="s">
        <v>151</v>
      </c>
      <c r="B41" s="193"/>
      <c r="C41" s="193"/>
      <c r="D41" s="193"/>
      <c r="E41" s="193"/>
      <c r="F41" s="193"/>
      <c r="G41" s="194"/>
      <c r="H41" s="195"/>
    </row>
    <row r="42" spans="1:8" x14ac:dyDescent="0.3">
      <c r="A42" s="196" t="s">
        <v>67</v>
      </c>
      <c r="B42" s="197"/>
      <c r="C42" s="197"/>
      <c r="D42" s="197"/>
      <c r="E42" s="197"/>
      <c r="F42" s="197"/>
      <c r="G42" s="198"/>
      <c r="H42" s="195"/>
    </row>
    <row r="43" spans="1:8" ht="15" thickBot="1" x14ac:dyDescent="0.35">
      <c r="A43" s="199" t="s">
        <v>68</v>
      </c>
      <c r="B43" s="200"/>
      <c r="C43" s="200"/>
      <c r="D43" s="200"/>
      <c r="E43" s="200"/>
      <c r="F43" s="200"/>
      <c r="G43" s="201"/>
      <c r="H43" s="195"/>
    </row>
    <row r="44" spans="1:8" x14ac:dyDescent="0.3">
      <c r="A44" s="381" t="s">
        <v>69</v>
      </c>
      <c r="B44" s="382"/>
      <c r="C44" s="382"/>
      <c r="D44" s="382"/>
      <c r="E44" s="382"/>
      <c r="F44" s="382"/>
      <c r="G44" s="383"/>
    </row>
    <row r="45" spans="1:8" x14ac:dyDescent="0.3">
      <c r="A45" s="384"/>
      <c r="B45" s="385"/>
      <c r="C45" s="385"/>
      <c r="D45" s="385"/>
      <c r="E45" s="385"/>
      <c r="F45" s="385"/>
      <c r="G45" s="386"/>
    </row>
    <row r="46" spans="1:8" x14ac:dyDescent="0.3">
      <c r="A46" s="384"/>
      <c r="B46" s="385"/>
      <c r="C46" s="385"/>
      <c r="D46" s="385"/>
      <c r="E46" s="385"/>
      <c r="F46" s="385"/>
      <c r="G46" s="386"/>
    </row>
    <row r="47" spans="1:8" ht="15" thickBot="1" x14ac:dyDescent="0.35">
      <c r="A47" s="387"/>
      <c r="B47" s="388"/>
      <c r="C47" s="388"/>
      <c r="D47" s="388"/>
      <c r="E47" s="388"/>
      <c r="F47" s="388"/>
      <c r="G47" s="389"/>
    </row>
  </sheetData>
  <mergeCells count="12">
    <mergeCell ref="A44:G47"/>
    <mergeCell ref="A1:D1"/>
    <mergeCell ref="E1:G1"/>
    <mergeCell ref="A36:C36"/>
    <mergeCell ref="A3:C3"/>
    <mergeCell ref="A8:C8"/>
    <mergeCell ref="A26:C26"/>
    <mergeCell ref="A28:C28"/>
    <mergeCell ref="A30:C30"/>
    <mergeCell ref="A32:C32"/>
    <mergeCell ref="A39:C39"/>
    <mergeCell ref="A40:C40"/>
  </mergeCells>
  <phoneticPr fontId="0" type="noConversion"/>
  <conditionalFormatting sqref="D39:G40">
    <cfRule type="colorScale" priority="58">
      <colorScale>
        <cfvo type="min"/>
        <cfvo type="percentile" val="50"/>
        <cfvo type="max"/>
        <color rgb="FFF8696B"/>
        <color rgb="FFFFEB84"/>
        <color rgb="FF63BE7B"/>
      </colorScale>
    </cfRule>
    <cfRule type="colorScale" priority="59">
      <colorScale>
        <cfvo type="min"/>
        <cfvo type="percentile" val="50"/>
        <cfvo type="max"/>
        <color rgb="FFF8696B"/>
        <color rgb="FFFFEB84"/>
        <color rgb="FF63BE7B"/>
      </colorScale>
    </cfRule>
    <cfRule type="colorScale" priority="60">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2" fitToHeight="0" orientation="portrait" verticalDpi="300" r:id="rId1"/>
  <headerFooter alignWithMargins="0">
    <oddHeader>&amp;F</oddHeader>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7"/>
  <sheetViews>
    <sheetView topLeftCell="A3" zoomScale="70" zoomScaleNormal="70" workbookViewId="0">
      <selection activeCell="D27" sqref="D27"/>
    </sheetView>
  </sheetViews>
  <sheetFormatPr defaultColWidth="9.109375" defaultRowHeight="14.4" x14ac:dyDescent="0.3"/>
  <cols>
    <col min="1" max="1" width="41.6640625" style="142" customWidth="1"/>
    <col min="2" max="2" width="10.6640625" style="142" customWidth="1"/>
    <col min="3" max="3" width="44.6640625" style="142" customWidth="1"/>
    <col min="4" max="9" width="13.6640625" style="142" customWidth="1"/>
    <col min="10" max="10" width="14.44140625" style="142" customWidth="1"/>
    <col min="11" max="22" width="12.6640625" style="142" customWidth="1"/>
    <col min="23" max="16384" width="9.109375" style="142"/>
  </cols>
  <sheetData>
    <row r="1" spans="1:9" ht="30" customHeight="1" thickBot="1" x14ac:dyDescent="0.35">
      <c r="A1" s="393" t="s">
        <v>155</v>
      </c>
      <c r="B1" s="394"/>
      <c r="C1" s="394"/>
      <c r="D1" s="394"/>
      <c r="E1" s="330" t="s">
        <v>31</v>
      </c>
      <c r="F1" s="330"/>
      <c r="G1" s="330"/>
      <c r="H1" s="222"/>
      <c r="I1" s="219"/>
    </row>
    <row r="2" spans="1:9" ht="15" thickBot="1" x14ac:dyDescent="0.35">
      <c r="A2" s="143"/>
      <c r="B2" s="144"/>
      <c r="C2" s="145"/>
      <c r="D2" s="145"/>
      <c r="E2" s="145"/>
      <c r="F2" s="145"/>
      <c r="G2" s="145"/>
      <c r="H2" s="145"/>
      <c r="I2" s="146"/>
    </row>
    <row r="3" spans="1:9" ht="27.75" customHeight="1" thickBot="1" x14ac:dyDescent="0.35">
      <c r="A3" s="336" t="s">
        <v>32</v>
      </c>
      <c r="B3" s="349"/>
      <c r="C3" s="349"/>
      <c r="D3" s="147"/>
      <c r="E3" s="202">
        <f>'Pryse + Sensatiwiteitsanalise'!B45</f>
        <v>8085.83</v>
      </c>
      <c r="F3" s="147" t="s">
        <v>33</v>
      </c>
      <c r="G3" s="149"/>
      <c r="H3" s="149"/>
      <c r="I3" s="150"/>
    </row>
    <row r="4" spans="1:9" ht="15" thickBot="1" x14ac:dyDescent="0.35">
      <c r="A4" s="151"/>
      <c r="B4" s="152"/>
      <c r="C4" s="152"/>
      <c r="D4" s="153"/>
      <c r="E4" s="154"/>
      <c r="F4" s="155"/>
      <c r="G4" s="156"/>
      <c r="H4" s="157"/>
      <c r="I4" s="157"/>
    </row>
    <row r="5" spans="1:9" ht="15" thickBot="1" x14ac:dyDescent="0.35">
      <c r="A5" s="151" t="s">
        <v>34</v>
      </c>
      <c r="B5" s="152"/>
      <c r="C5" s="152"/>
      <c r="D5" s="158">
        <v>1.5</v>
      </c>
      <c r="E5" s="158">
        <v>1.75</v>
      </c>
      <c r="F5" s="158">
        <v>2</v>
      </c>
      <c r="G5" s="158">
        <v>2.5</v>
      </c>
      <c r="H5" s="158">
        <v>3</v>
      </c>
      <c r="I5" s="158">
        <v>3.5</v>
      </c>
    </row>
    <row r="6" spans="1:9" ht="15" thickBot="1" x14ac:dyDescent="0.35">
      <c r="A6" s="159" t="s">
        <v>35</v>
      </c>
      <c r="B6" s="160"/>
      <c r="C6" s="161"/>
      <c r="D6" s="162">
        <v>12128.744999999999</v>
      </c>
      <c r="E6" s="162">
        <v>14150.202499999999</v>
      </c>
      <c r="F6" s="162">
        <v>16171.66</v>
      </c>
      <c r="G6" s="162">
        <v>20214.575000000001</v>
      </c>
      <c r="H6" s="162">
        <v>24257.489999999998</v>
      </c>
      <c r="I6" s="162">
        <v>28300.404999999999</v>
      </c>
    </row>
    <row r="7" spans="1:9" ht="15" thickBot="1" x14ac:dyDescent="0.35">
      <c r="A7" s="163"/>
      <c r="B7" s="164"/>
      <c r="C7" s="164"/>
      <c r="D7" s="165"/>
      <c r="E7" s="165"/>
      <c r="F7" s="165"/>
      <c r="G7" s="165"/>
      <c r="H7" s="165"/>
      <c r="I7" s="165"/>
    </row>
    <row r="8" spans="1:9" ht="15" customHeight="1" thickBot="1" x14ac:dyDescent="0.35">
      <c r="A8" s="223" t="s">
        <v>36</v>
      </c>
      <c r="B8" s="224"/>
      <c r="C8" s="225"/>
      <c r="D8" s="166"/>
      <c r="E8" s="166"/>
      <c r="F8" s="166"/>
      <c r="G8" s="166"/>
      <c r="H8" s="166"/>
      <c r="I8" s="166"/>
    </row>
    <row r="9" spans="1:9" x14ac:dyDescent="0.3">
      <c r="A9" s="168" t="s">
        <v>40</v>
      </c>
      <c r="B9" s="169"/>
      <c r="C9" s="169"/>
      <c r="D9" s="170">
        <v>2267.9662799999996</v>
      </c>
      <c r="E9" s="170">
        <v>2267.9662799999996</v>
      </c>
      <c r="F9" s="170">
        <v>2267.9662799999996</v>
      </c>
      <c r="G9" s="170">
        <v>2645.9606599999997</v>
      </c>
      <c r="H9" s="170">
        <v>2645.9606599999997</v>
      </c>
      <c r="I9" s="170">
        <v>2645.9606599999997</v>
      </c>
    </row>
    <row r="10" spans="1:9" x14ac:dyDescent="0.3">
      <c r="A10" s="172" t="s">
        <v>41</v>
      </c>
      <c r="B10" s="173"/>
      <c r="C10" s="173"/>
      <c r="D10" s="174">
        <v>3513.5750000000003</v>
      </c>
      <c r="E10" s="174">
        <v>4028.3375000000005</v>
      </c>
      <c r="F10" s="174">
        <v>4543.1000000000004</v>
      </c>
      <c r="G10" s="174">
        <v>5572.625</v>
      </c>
      <c r="H10" s="174">
        <v>6602.1500000000005</v>
      </c>
      <c r="I10" s="174">
        <v>7631.6750000000011</v>
      </c>
    </row>
    <row r="11" spans="1:9" x14ac:dyDescent="0.3">
      <c r="A11" s="172" t="s">
        <v>42</v>
      </c>
      <c r="B11" s="173"/>
      <c r="C11" s="173"/>
      <c r="D11" s="174">
        <v>800</v>
      </c>
      <c r="E11" s="174">
        <v>800</v>
      </c>
      <c r="F11" s="174">
        <v>800</v>
      </c>
      <c r="G11" s="174">
        <v>800</v>
      </c>
      <c r="H11" s="174">
        <v>800</v>
      </c>
      <c r="I11" s="174">
        <v>800</v>
      </c>
    </row>
    <row r="12" spans="1:9" x14ac:dyDescent="0.3">
      <c r="A12" s="172" t="s">
        <v>43</v>
      </c>
      <c r="B12" s="173"/>
      <c r="C12" s="173"/>
      <c r="D12" s="174">
        <v>1585.566544</v>
      </c>
      <c r="E12" s="174">
        <v>1605.0815440000001</v>
      </c>
      <c r="F12" s="174">
        <v>1624.596544</v>
      </c>
      <c r="G12" s="174">
        <v>1650.616544</v>
      </c>
      <c r="H12" s="174">
        <v>1676.636544</v>
      </c>
      <c r="I12" s="174">
        <v>1689.6465440000002</v>
      </c>
    </row>
    <row r="13" spans="1:9" x14ac:dyDescent="0.3">
      <c r="A13" s="172" t="s">
        <v>44</v>
      </c>
      <c r="B13" s="173"/>
      <c r="C13" s="173"/>
      <c r="D13" s="174">
        <v>1192.8804</v>
      </c>
      <c r="E13" s="174">
        <v>1194.0687333333335</v>
      </c>
      <c r="F13" s="174">
        <v>1195.2570666666666</v>
      </c>
      <c r="G13" s="174">
        <v>1197.6337333333333</v>
      </c>
      <c r="H13" s="174">
        <v>1200.0104000000001</v>
      </c>
      <c r="I13" s="174">
        <v>1202.3870666666667</v>
      </c>
    </row>
    <row r="14" spans="1:9" x14ac:dyDescent="0.3">
      <c r="A14" s="172" t="s">
        <v>45</v>
      </c>
      <c r="B14" s="173"/>
      <c r="C14" s="173"/>
      <c r="D14" s="174">
        <v>1020</v>
      </c>
      <c r="E14" s="174">
        <v>1020</v>
      </c>
      <c r="F14" s="174">
        <v>1020</v>
      </c>
      <c r="G14" s="174">
        <v>1020</v>
      </c>
      <c r="H14" s="174">
        <v>1020</v>
      </c>
      <c r="I14" s="174">
        <v>1020</v>
      </c>
    </row>
    <row r="15" spans="1:9" x14ac:dyDescent="0.3">
      <c r="A15" s="172" t="s">
        <v>46</v>
      </c>
      <c r="B15" s="173"/>
      <c r="C15" s="173"/>
      <c r="D15" s="174">
        <v>462.46799999999996</v>
      </c>
      <c r="E15" s="174">
        <v>462.46799999999996</v>
      </c>
      <c r="F15" s="174">
        <v>462.46799999999996</v>
      </c>
      <c r="G15" s="174">
        <v>462.46799999999996</v>
      </c>
      <c r="H15" s="174">
        <v>462.46799999999996</v>
      </c>
      <c r="I15" s="174">
        <v>462.46799999999996</v>
      </c>
    </row>
    <row r="16" spans="1:9" x14ac:dyDescent="0.3">
      <c r="A16" s="172" t="s">
        <v>47</v>
      </c>
      <c r="B16" s="173"/>
      <c r="C16" s="173"/>
      <c r="D16" s="174"/>
      <c r="E16" s="174"/>
      <c r="F16" s="174"/>
      <c r="G16" s="174"/>
      <c r="H16" s="174"/>
      <c r="I16" s="174"/>
    </row>
    <row r="17" spans="1:10" x14ac:dyDescent="0.3">
      <c r="A17" s="172" t="s">
        <v>49</v>
      </c>
      <c r="B17" s="173"/>
      <c r="C17" s="173"/>
      <c r="D17" s="174">
        <v>617.82463847357667</v>
      </c>
      <c r="E17" s="174">
        <v>650.19542995282711</v>
      </c>
      <c r="F17" s="174">
        <v>682.56622143207733</v>
      </c>
      <c r="G17" s="174">
        <v>765.86886454840965</v>
      </c>
      <c r="H17" s="174">
        <v>829.94883181625141</v>
      </c>
      <c r="I17" s="174">
        <v>893.36718339343452</v>
      </c>
    </row>
    <row r="18" spans="1:10" x14ac:dyDescent="0.3">
      <c r="A18" s="172" t="str">
        <f>'Yellow-Roundup R mielies '!A17</f>
        <v>Besproeiingskoste / Irrigation costs</v>
      </c>
      <c r="B18" s="173"/>
      <c r="C18" s="173"/>
      <c r="D18" s="174"/>
      <c r="E18" s="174"/>
      <c r="F18" s="174"/>
      <c r="G18" s="174"/>
      <c r="H18" s="174"/>
      <c r="I18" s="174"/>
    </row>
    <row r="19" spans="1:10" x14ac:dyDescent="0.3">
      <c r="A19" s="172" t="s">
        <v>50</v>
      </c>
      <c r="B19" s="173"/>
      <c r="C19" s="173"/>
      <c r="D19" s="174"/>
      <c r="E19" s="174"/>
      <c r="F19" s="174"/>
      <c r="G19" s="174"/>
      <c r="H19" s="174"/>
      <c r="I19" s="174"/>
    </row>
    <row r="20" spans="1:10" x14ac:dyDescent="0.3">
      <c r="A20" s="172" t="s">
        <v>51</v>
      </c>
      <c r="B20" s="173"/>
      <c r="C20" s="173"/>
      <c r="D20" s="174">
        <v>606.43724999999995</v>
      </c>
      <c r="E20" s="174">
        <v>707.51012500000002</v>
      </c>
      <c r="F20" s="174">
        <v>808.58300000000008</v>
      </c>
      <c r="G20" s="174">
        <v>1010.7287500000001</v>
      </c>
      <c r="H20" s="174">
        <v>1212.8744999999999</v>
      </c>
      <c r="I20" s="174">
        <v>1415.02025</v>
      </c>
    </row>
    <row r="21" spans="1:10" x14ac:dyDescent="0.3">
      <c r="A21" s="172" t="s">
        <v>52</v>
      </c>
      <c r="B21" s="173"/>
      <c r="C21" s="173"/>
      <c r="D21" s="174">
        <v>200</v>
      </c>
      <c r="E21" s="174">
        <v>200</v>
      </c>
      <c r="F21" s="174">
        <v>200</v>
      </c>
      <c r="G21" s="174">
        <v>200</v>
      </c>
      <c r="H21" s="174">
        <v>200</v>
      </c>
      <c r="I21" s="174">
        <v>200</v>
      </c>
    </row>
    <row r="22" spans="1:10" x14ac:dyDescent="0.3">
      <c r="A22" s="172" t="s">
        <v>53</v>
      </c>
      <c r="B22" s="173"/>
      <c r="C22" s="173"/>
      <c r="D22" s="174">
        <v>500</v>
      </c>
      <c r="E22" s="174">
        <v>500</v>
      </c>
      <c r="F22" s="174">
        <v>500</v>
      </c>
      <c r="G22" s="174">
        <v>500</v>
      </c>
      <c r="H22" s="174">
        <v>500</v>
      </c>
      <c r="I22" s="174">
        <v>500</v>
      </c>
    </row>
    <row r="23" spans="1:10" x14ac:dyDescent="0.3">
      <c r="A23" s="172" t="s">
        <v>54</v>
      </c>
      <c r="B23" s="173"/>
      <c r="C23" s="173"/>
      <c r="D23" s="174"/>
      <c r="E23" s="174"/>
      <c r="F23" s="174"/>
      <c r="G23" s="174"/>
      <c r="H23" s="174"/>
      <c r="I23" s="174"/>
    </row>
    <row r="24" spans="1:10" x14ac:dyDescent="0.3">
      <c r="A24" s="172" t="s">
        <v>55</v>
      </c>
      <c r="B24" s="173"/>
      <c r="C24" s="173"/>
      <c r="D24" s="174"/>
      <c r="E24" s="174"/>
      <c r="F24" s="174"/>
      <c r="G24" s="174"/>
      <c r="H24" s="174"/>
      <c r="I24" s="174"/>
    </row>
    <row r="25" spans="1:10" ht="15" thickBot="1" x14ac:dyDescent="0.35">
      <c r="A25" s="172" t="s">
        <v>56</v>
      </c>
      <c r="B25" s="173"/>
      <c r="C25" s="173"/>
      <c r="D25" s="174">
        <v>781.96148438900639</v>
      </c>
      <c r="E25" s="174">
        <v>822.93219125252756</v>
      </c>
      <c r="F25" s="174">
        <v>863.90289811604816</v>
      </c>
      <c r="G25" s="174">
        <v>969.33647005275691</v>
      </c>
      <c r="H25" s="174">
        <v>1050.4404973187454</v>
      </c>
      <c r="I25" s="174">
        <v>1130.7071381236813</v>
      </c>
    </row>
    <row r="26" spans="1:10" ht="15" thickBot="1" x14ac:dyDescent="0.35">
      <c r="A26" s="336" t="s">
        <v>57</v>
      </c>
      <c r="B26" s="337"/>
      <c r="C26" s="338"/>
      <c r="D26" s="175">
        <f>SUM(D9:D25)</f>
        <v>13548.679596862583</v>
      </c>
      <c r="E26" s="175">
        <f t="shared" ref="E26:I26" si="0">SUM(E9:E25)</f>
        <v>14258.559803538692</v>
      </c>
      <c r="F26" s="175">
        <f t="shared" si="0"/>
        <v>14968.440010214794</v>
      </c>
      <c r="G26" s="175">
        <f t="shared" si="0"/>
        <v>16795.238021934503</v>
      </c>
      <c r="H26" s="175">
        <f t="shared" si="0"/>
        <v>18200.489433134997</v>
      </c>
      <c r="I26" s="175">
        <f t="shared" si="0"/>
        <v>19591.231842183784</v>
      </c>
    </row>
    <row r="27" spans="1:10" ht="15" thickBot="1" x14ac:dyDescent="0.35">
      <c r="A27" s="176"/>
      <c r="B27" s="177"/>
      <c r="C27" s="177"/>
      <c r="D27" s="178"/>
      <c r="E27" s="178"/>
      <c r="F27" s="178"/>
      <c r="G27" s="178"/>
      <c r="H27" s="178"/>
      <c r="I27" s="178"/>
    </row>
    <row r="28" spans="1:10" ht="15" thickBot="1" x14ac:dyDescent="0.35">
      <c r="A28" s="346" t="s">
        <v>58</v>
      </c>
      <c r="B28" s="347"/>
      <c r="C28" s="348"/>
      <c r="D28" s="179">
        <v>7127.57</v>
      </c>
      <c r="E28" s="175">
        <v>7127.57</v>
      </c>
      <c r="F28" s="175">
        <v>7127.57</v>
      </c>
      <c r="G28" s="175">
        <v>7127.57</v>
      </c>
      <c r="H28" s="175">
        <v>7127.57</v>
      </c>
      <c r="I28" s="175">
        <v>7127.57</v>
      </c>
      <c r="J28" s="180"/>
    </row>
    <row r="29" spans="1:10" ht="15" thickBot="1" x14ac:dyDescent="0.35">
      <c r="A29" s="176"/>
      <c r="B29" s="177"/>
      <c r="C29" s="177"/>
      <c r="D29" s="178"/>
      <c r="E29" s="178"/>
      <c r="F29" s="178"/>
      <c r="G29" s="178"/>
      <c r="H29" s="178"/>
      <c r="I29" s="178"/>
    </row>
    <row r="30" spans="1:10" ht="15" thickBot="1" x14ac:dyDescent="0.35">
      <c r="A30" s="336" t="s">
        <v>59</v>
      </c>
      <c r="B30" s="337"/>
      <c r="C30" s="338"/>
      <c r="D30" s="175">
        <f>D26+D28</f>
        <v>20676.249596862581</v>
      </c>
      <c r="E30" s="175">
        <f t="shared" ref="E30:I30" si="1">E26+E28</f>
        <v>21386.129803538694</v>
      </c>
      <c r="F30" s="175">
        <f t="shared" si="1"/>
        <v>22096.010010214792</v>
      </c>
      <c r="G30" s="175">
        <f t="shared" si="1"/>
        <v>23922.808021934503</v>
      </c>
      <c r="H30" s="175">
        <f t="shared" si="1"/>
        <v>25328.059433134997</v>
      </c>
      <c r="I30" s="175">
        <f t="shared" si="1"/>
        <v>26718.801842183784</v>
      </c>
    </row>
    <row r="31" spans="1:10" ht="15" thickBot="1" x14ac:dyDescent="0.35">
      <c r="A31" s="163"/>
      <c r="B31" s="164"/>
      <c r="C31" s="164"/>
      <c r="D31" s="181"/>
      <c r="E31" s="181"/>
      <c r="F31" s="181"/>
      <c r="G31" s="181"/>
      <c r="H31" s="181"/>
      <c r="I31" s="181"/>
    </row>
    <row r="32" spans="1:10" ht="15" thickBot="1" x14ac:dyDescent="0.35">
      <c r="A32" s="336" t="s">
        <v>60</v>
      </c>
      <c r="B32" s="349"/>
      <c r="C32" s="350"/>
      <c r="D32" s="175">
        <f>D30/D5</f>
        <v>13784.166397908388</v>
      </c>
      <c r="E32" s="175">
        <f t="shared" ref="E32:I32" si="2">E30/E5</f>
        <v>12220.64560202211</v>
      </c>
      <c r="F32" s="175">
        <f t="shared" si="2"/>
        <v>11048.005005107396</v>
      </c>
      <c r="G32" s="175">
        <f t="shared" si="2"/>
        <v>9569.1232087738008</v>
      </c>
      <c r="H32" s="175">
        <f t="shared" si="2"/>
        <v>8442.6864777116662</v>
      </c>
      <c r="I32" s="175">
        <f t="shared" si="2"/>
        <v>7633.9433834810816</v>
      </c>
    </row>
    <row r="33" spans="1:10" ht="15" thickBot="1" x14ac:dyDescent="0.35">
      <c r="A33" s="163"/>
      <c r="B33" s="164"/>
      <c r="C33" s="164"/>
      <c r="D33" s="181"/>
      <c r="E33" s="181"/>
      <c r="F33" s="181"/>
      <c r="G33" s="181"/>
      <c r="H33" s="181"/>
      <c r="I33" s="181"/>
    </row>
    <row r="34" spans="1:10" ht="15" thickBot="1" x14ac:dyDescent="0.35">
      <c r="A34" s="159" t="s">
        <v>61</v>
      </c>
      <c r="B34" s="160"/>
      <c r="C34" s="160"/>
      <c r="D34" s="175">
        <f>'Pryse + Sensatiwiteitsanalise'!$D$5</f>
        <v>259.17</v>
      </c>
      <c r="E34" s="175">
        <f>'Pryse + Sensatiwiteitsanalise'!$D$5</f>
        <v>259.17</v>
      </c>
      <c r="F34" s="175">
        <f>'Pryse + Sensatiwiteitsanalise'!$D$5</f>
        <v>259.17</v>
      </c>
      <c r="G34" s="175">
        <f>'Pryse + Sensatiwiteitsanalise'!$D$5</f>
        <v>259.17</v>
      </c>
      <c r="H34" s="175">
        <f>'Pryse + Sensatiwiteitsanalise'!$D$5</f>
        <v>259.17</v>
      </c>
      <c r="I34" s="175">
        <f>'Pryse + Sensatiwiteitsanalise'!$D$5</f>
        <v>259.17</v>
      </c>
    </row>
    <row r="35" spans="1:10" ht="15" thickBot="1" x14ac:dyDescent="0.35">
      <c r="A35" s="163"/>
      <c r="B35" s="164"/>
      <c r="C35" s="164"/>
      <c r="D35" s="181"/>
      <c r="E35" s="181"/>
      <c r="F35" s="181"/>
      <c r="G35" s="181"/>
      <c r="H35" s="181"/>
      <c r="I35" s="181"/>
    </row>
    <row r="36" spans="1:10" ht="15" thickBot="1" x14ac:dyDescent="0.35">
      <c r="A36" s="328" t="s">
        <v>62</v>
      </c>
      <c r="B36" s="351"/>
      <c r="C36" s="352"/>
      <c r="D36" s="182">
        <f>D32+D34</f>
        <v>14043.336397908388</v>
      </c>
      <c r="E36" s="182">
        <f t="shared" ref="E36:I36" si="3">E32+E34</f>
        <v>12479.81560202211</v>
      </c>
      <c r="F36" s="182">
        <f t="shared" si="3"/>
        <v>11307.175005107396</v>
      </c>
      <c r="G36" s="182">
        <f t="shared" si="3"/>
        <v>9828.2932087738009</v>
      </c>
      <c r="H36" s="182">
        <f t="shared" si="3"/>
        <v>8701.8564777116662</v>
      </c>
      <c r="I36" s="182">
        <f t="shared" si="3"/>
        <v>7893.1133834810817</v>
      </c>
    </row>
    <row r="37" spans="1:10" ht="15" thickBot="1" x14ac:dyDescent="0.35">
      <c r="A37" s="183" t="s">
        <v>75</v>
      </c>
      <c r="B37" s="184"/>
      <c r="C37" s="185"/>
      <c r="D37" s="182">
        <f>'Pryse + Sensatiwiteitsanalise'!B5</f>
        <v>8345</v>
      </c>
      <c r="E37" s="182">
        <f>$D$37</f>
        <v>8345</v>
      </c>
      <c r="F37" s="182">
        <f>$D$37</f>
        <v>8345</v>
      </c>
      <c r="G37" s="182">
        <f>$D$37</f>
        <v>8345</v>
      </c>
      <c r="H37" s="182">
        <f>$D$37</f>
        <v>8345</v>
      </c>
      <c r="I37" s="182">
        <f>$D$37</f>
        <v>8345</v>
      </c>
    </row>
    <row r="38" spans="1:10" ht="15" thickBot="1" x14ac:dyDescent="0.35">
      <c r="D38" s="186"/>
      <c r="E38" s="186"/>
      <c r="F38" s="186"/>
      <c r="G38" s="186"/>
      <c r="H38" s="186"/>
      <c r="I38" s="186"/>
    </row>
    <row r="39" spans="1:10" s="189" customFormat="1" x14ac:dyDescent="0.3">
      <c r="A39" s="339" t="s">
        <v>64</v>
      </c>
      <c r="B39" s="340"/>
      <c r="C39" s="341"/>
      <c r="D39" s="187">
        <f t="shared" ref="D39:I39" si="4">D6-D26</f>
        <v>-1419.9345968625839</v>
      </c>
      <c r="E39" s="188">
        <f t="shared" si="4"/>
        <v>-108.35730353869258</v>
      </c>
      <c r="F39" s="187">
        <f t="shared" si="4"/>
        <v>1203.2199897852061</v>
      </c>
      <c r="G39" s="188">
        <f t="shared" si="4"/>
        <v>3419.3369780654975</v>
      </c>
      <c r="H39" s="187">
        <f t="shared" si="4"/>
        <v>6057.000566865001</v>
      </c>
      <c r="I39" s="187">
        <f t="shared" si="4"/>
        <v>8709.1731578162144</v>
      </c>
    </row>
    <row r="40" spans="1:10" s="189" customFormat="1" ht="15" thickBot="1" x14ac:dyDescent="0.35">
      <c r="A40" s="342" t="s">
        <v>65</v>
      </c>
      <c r="B40" s="343"/>
      <c r="C40" s="344"/>
      <c r="D40" s="210">
        <f t="shared" ref="D40:I40" si="5">D6-D30</f>
        <v>-8547.5045968625818</v>
      </c>
      <c r="E40" s="211">
        <f t="shared" si="5"/>
        <v>-7235.9273035386941</v>
      </c>
      <c r="F40" s="210">
        <f t="shared" si="5"/>
        <v>-5924.3500102147918</v>
      </c>
      <c r="G40" s="211">
        <f t="shared" si="5"/>
        <v>-3708.2330219345022</v>
      </c>
      <c r="H40" s="210">
        <f t="shared" si="5"/>
        <v>-1070.5694331349987</v>
      </c>
      <c r="I40" s="210">
        <f t="shared" si="5"/>
        <v>1581.6031578162147</v>
      </c>
    </row>
    <row r="41" spans="1:10" x14ac:dyDescent="0.3">
      <c r="A41" s="205" t="s">
        <v>151</v>
      </c>
      <c r="B41" s="206"/>
      <c r="C41" s="206"/>
      <c r="D41" s="206"/>
      <c r="E41" s="206"/>
      <c r="F41" s="206"/>
      <c r="G41" s="206"/>
      <c r="H41" s="206"/>
      <c r="I41" s="213"/>
      <c r="J41" s="195"/>
    </row>
    <row r="42" spans="1:10" x14ac:dyDescent="0.3">
      <c r="A42" s="207" t="s">
        <v>67</v>
      </c>
      <c r="B42" s="212"/>
      <c r="C42" s="212"/>
      <c r="D42" s="212"/>
      <c r="E42" s="212"/>
      <c r="F42" s="212"/>
      <c r="G42" s="212"/>
      <c r="H42" s="212"/>
      <c r="I42" s="214"/>
      <c r="J42" s="195"/>
    </row>
    <row r="43" spans="1:10" ht="15" thickBot="1" x14ac:dyDescent="0.35">
      <c r="A43" s="208" t="s">
        <v>68</v>
      </c>
      <c r="B43" s="209"/>
      <c r="C43" s="209"/>
      <c r="D43" s="209"/>
      <c r="E43" s="209"/>
      <c r="F43" s="209"/>
      <c r="G43" s="209"/>
      <c r="H43" s="209"/>
      <c r="I43" s="215"/>
      <c r="J43" s="195"/>
    </row>
    <row r="44" spans="1:10" x14ac:dyDescent="0.3">
      <c r="A44" s="322" t="s">
        <v>69</v>
      </c>
      <c r="B44" s="323"/>
      <c r="C44" s="323"/>
      <c r="D44" s="323"/>
      <c r="E44" s="323"/>
      <c r="F44" s="323"/>
      <c r="G44" s="323"/>
      <c r="H44" s="323"/>
      <c r="I44" s="216"/>
    </row>
    <row r="45" spans="1:10" x14ac:dyDescent="0.3">
      <c r="A45" s="324"/>
      <c r="B45" s="325"/>
      <c r="C45" s="325"/>
      <c r="D45" s="325"/>
      <c r="E45" s="325"/>
      <c r="F45" s="325"/>
      <c r="G45" s="325"/>
      <c r="H45" s="325"/>
      <c r="I45" s="217"/>
    </row>
    <row r="46" spans="1:10" x14ac:dyDescent="0.3">
      <c r="A46" s="324"/>
      <c r="B46" s="325"/>
      <c r="C46" s="325"/>
      <c r="D46" s="325"/>
      <c r="E46" s="325"/>
      <c r="F46" s="325"/>
      <c r="G46" s="325"/>
      <c r="H46" s="325"/>
      <c r="I46" s="217"/>
    </row>
    <row r="47" spans="1:10" ht="15" thickBot="1" x14ac:dyDescent="0.35">
      <c r="A47" s="326"/>
      <c r="B47" s="327"/>
      <c r="C47" s="327"/>
      <c r="D47" s="327"/>
      <c r="E47" s="327"/>
      <c r="F47" s="327"/>
      <c r="G47" s="327"/>
      <c r="H47" s="327"/>
      <c r="I47" s="218"/>
    </row>
  </sheetData>
  <mergeCells count="11">
    <mergeCell ref="A44:H47"/>
    <mergeCell ref="A39:C39"/>
    <mergeCell ref="A40:C40"/>
    <mergeCell ref="A1:D1"/>
    <mergeCell ref="E1:G1"/>
    <mergeCell ref="A3:C3"/>
    <mergeCell ref="A26:C26"/>
    <mergeCell ref="A28:C28"/>
    <mergeCell ref="A30:C30"/>
    <mergeCell ref="A32:C32"/>
    <mergeCell ref="A36:C36"/>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6" fitToHeight="0" orientation="portrait" r:id="rId1"/>
  <headerFooter alignWithMargins="0">
    <oddHeader>&amp;F</oddHead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9"/>
  <sheetViews>
    <sheetView zoomScale="80" zoomScaleNormal="80" workbookViewId="0">
      <selection sqref="A1:D1"/>
    </sheetView>
  </sheetViews>
  <sheetFormatPr defaultColWidth="9.109375" defaultRowHeight="13.2" x14ac:dyDescent="0.25"/>
  <cols>
    <col min="1" max="1" width="41.6640625" style="1" customWidth="1"/>
    <col min="2" max="2" width="18" style="1" customWidth="1"/>
    <col min="3" max="3" width="17.33203125" style="1" customWidth="1"/>
    <col min="4" max="4" width="16.109375" style="1" customWidth="1"/>
    <col min="5" max="9" width="14.33203125" style="1" customWidth="1"/>
    <col min="10" max="10" width="14.44140625" style="1" customWidth="1"/>
    <col min="11" max="13" width="12.6640625" style="1" hidden="1" customWidth="1"/>
    <col min="14" max="26" width="12.6640625" style="1" customWidth="1"/>
    <col min="27" max="16384" width="9.109375" style="1"/>
  </cols>
  <sheetData>
    <row r="1" spans="1:13" ht="30" customHeight="1" thickBot="1" x14ac:dyDescent="0.3">
      <c r="A1" s="353" t="s">
        <v>76</v>
      </c>
      <c r="B1" s="354"/>
      <c r="C1" s="354"/>
      <c r="D1" s="354"/>
      <c r="E1" s="355" t="s">
        <v>77</v>
      </c>
      <c r="F1" s="355"/>
      <c r="G1" s="355"/>
      <c r="H1" s="2"/>
      <c r="I1" s="9"/>
    </row>
    <row r="2" spans="1:13" ht="16.2" thickBot="1" x14ac:dyDescent="0.35">
      <c r="A2" s="10"/>
      <c r="B2" s="11"/>
      <c r="C2" s="12"/>
      <c r="D2" s="12"/>
      <c r="E2" s="8"/>
      <c r="F2" s="8"/>
      <c r="G2" s="8"/>
      <c r="H2" s="8"/>
      <c r="I2" s="3"/>
    </row>
    <row r="3" spans="1:13" ht="27.75" customHeight="1" thickBot="1" x14ac:dyDescent="0.3">
      <c r="A3" s="356" t="s">
        <v>32</v>
      </c>
      <c r="B3" s="357"/>
      <c r="C3" s="357"/>
      <c r="D3" s="19"/>
      <c r="E3" s="27">
        <f>'Pryse + Sensatiwiteitsanalise'!B45</f>
        <v>8085.83</v>
      </c>
      <c r="F3" s="19" t="s">
        <v>33</v>
      </c>
      <c r="G3" s="13"/>
      <c r="H3" s="13"/>
      <c r="I3" s="4"/>
    </row>
    <row r="4" spans="1:13" ht="13.8" thickBot="1" x14ac:dyDescent="0.3">
      <c r="A4" s="62"/>
      <c r="B4" s="72"/>
      <c r="C4" s="72"/>
      <c r="D4" s="5"/>
      <c r="E4" s="7"/>
      <c r="F4" s="14"/>
      <c r="G4" s="6"/>
      <c r="H4" s="15"/>
      <c r="I4" s="15"/>
    </row>
    <row r="5" spans="1:13" ht="13.8" thickBot="1" x14ac:dyDescent="0.3">
      <c r="A5" s="62" t="s">
        <v>34</v>
      </c>
      <c r="B5" s="72"/>
      <c r="C5" s="72"/>
      <c r="D5" s="28">
        <v>1.5</v>
      </c>
      <c r="E5" s="28">
        <v>1.75</v>
      </c>
      <c r="F5" s="28">
        <v>2</v>
      </c>
      <c r="G5" s="28">
        <v>2.5</v>
      </c>
      <c r="H5" s="28">
        <v>3</v>
      </c>
      <c r="I5" s="28">
        <v>3.5</v>
      </c>
    </row>
    <row r="6" spans="1:13" ht="13.8" thickBot="1" x14ac:dyDescent="0.3">
      <c r="A6" s="63" t="s">
        <v>35</v>
      </c>
      <c r="B6" s="73"/>
      <c r="C6" s="74"/>
      <c r="D6" s="26">
        <f t="shared" ref="D6:I6" si="0">$E$3*D5</f>
        <v>12128.744999999999</v>
      </c>
      <c r="E6" s="26">
        <f t="shared" si="0"/>
        <v>14150.202499999999</v>
      </c>
      <c r="F6" s="26">
        <f t="shared" si="0"/>
        <v>16171.66</v>
      </c>
      <c r="G6" s="26">
        <f t="shared" si="0"/>
        <v>20214.575000000001</v>
      </c>
      <c r="H6" s="26">
        <f t="shared" si="0"/>
        <v>24257.489999999998</v>
      </c>
      <c r="I6" s="26">
        <f t="shared" si="0"/>
        <v>28300.404999999999</v>
      </c>
    </row>
    <row r="7" spans="1:13" ht="15" thickBot="1" x14ac:dyDescent="0.35">
      <c r="A7" s="65"/>
      <c r="B7" s="66"/>
      <c r="C7" s="66"/>
      <c r="D7" s="16"/>
      <c r="E7" s="16"/>
      <c r="F7" s="16"/>
      <c r="G7" s="16"/>
      <c r="H7" s="16"/>
      <c r="I7" s="16"/>
      <c r="K7" s="364" t="s">
        <v>74</v>
      </c>
      <c r="L7" s="364"/>
      <c r="M7" s="364"/>
    </row>
    <row r="8" spans="1:13" ht="15" thickBot="1" x14ac:dyDescent="0.35">
      <c r="A8" s="358" t="s">
        <v>36</v>
      </c>
      <c r="B8" s="359"/>
      <c r="C8" s="360"/>
      <c r="D8" s="17"/>
      <c r="E8" s="17"/>
      <c r="F8" s="17"/>
      <c r="G8" s="17"/>
      <c r="H8" s="17"/>
      <c r="I8" s="17"/>
      <c r="K8" s="86" t="s">
        <v>37</v>
      </c>
      <c r="L8" s="86" t="s">
        <v>38</v>
      </c>
      <c r="M8" s="86" t="s">
        <v>39</v>
      </c>
    </row>
    <row r="9" spans="1:13" ht="14.4" x14ac:dyDescent="0.3">
      <c r="A9" s="67" t="s">
        <v>40</v>
      </c>
      <c r="B9" s="68"/>
      <c r="C9" s="68"/>
      <c r="D9" s="20">
        <v>1144.83</v>
      </c>
      <c r="E9" s="20">
        <v>1144.83</v>
      </c>
      <c r="F9" s="20">
        <v>1144.83</v>
      </c>
      <c r="G9" s="20">
        <v>1144.83</v>
      </c>
      <c r="H9" s="20">
        <v>1335.635</v>
      </c>
      <c r="I9" s="20">
        <v>1335.635</v>
      </c>
      <c r="K9" s="87">
        <f>D5</f>
        <v>1.5</v>
      </c>
      <c r="L9" s="87">
        <f>D25</f>
        <v>5598.3545849145448</v>
      </c>
      <c r="M9" s="87">
        <f>D27</f>
        <v>1508.6276238136477</v>
      </c>
    </row>
    <row r="10" spans="1:13" ht="14.4" x14ac:dyDescent="0.3">
      <c r="A10" s="64" t="s">
        <v>41</v>
      </c>
      <c r="B10" s="69"/>
      <c r="C10" s="69"/>
      <c r="D10" s="21">
        <v>1581.5</v>
      </c>
      <c r="E10" s="21">
        <v>1768</v>
      </c>
      <c r="F10" s="21">
        <v>1832.5</v>
      </c>
      <c r="G10" s="21">
        <v>1832.5</v>
      </c>
      <c r="H10" s="21">
        <v>2491</v>
      </c>
      <c r="I10" s="21">
        <v>2555.5</v>
      </c>
      <c r="K10" s="87">
        <f>E5</f>
        <v>1.75</v>
      </c>
      <c r="L10" s="87">
        <f>E25</f>
        <v>5898.4711411720618</v>
      </c>
      <c r="M10" s="87">
        <f>E27</f>
        <v>1508.6276238136477</v>
      </c>
    </row>
    <row r="11" spans="1:13" ht="14.4" x14ac:dyDescent="0.3">
      <c r="A11" s="64" t="s">
        <v>42</v>
      </c>
      <c r="B11" s="69"/>
      <c r="C11" s="69"/>
      <c r="D11" s="21">
        <v>0</v>
      </c>
      <c r="E11" s="21">
        <v>0</v>
      </c>
      <c r="F11" s="21">
        <v>0</v>
      </c>
      <c r="G11" s="21">
        <v>0</v>
      </c>
      <c r="H11" s="21">
        <v>0</v>
      </c>
      <c r="I11" s="21">
        <v>0</v>
      </c>
      <c r="K11" s="87">
        <f>F5</f>
        <v>2</v>
      </c>
      <c r="L11" s="87">
        <f>F25</f>
        <v>6061.5522416429822</v>
      </c>
      <c r="M11" s="87">
        <f>F27</f>
        <v>1508.6276238136477</v>
      </c>
    </row>
    <row r="12" spans="1:13" ht="14.4" x14ac:dyDescent="0.3">
      <c r="A12" s="64" t="s">
        <v>43</v>
      </c>
      <c r="B12" s="69"/>
      <c r="C12" s="69"/>
      <c r="D12" s="21">
        <v>436.23391025669616</v>
      </c>
      <c r="E12" s="21">
        <v>446.64346595132815</v>
      </c>
      <c r="F12" s="21">
        <v>457.05302164596003</v>
      </c>
      <c r="G12" s="21">
        <v>472.16826690117909</v>
      </c>
      <c r="H12" s="21">
        <v>487.28351215639805</v>
      </c>
      <c r="I12" s="21">
        <v>502.398757411617</v>
      </c>
      <c r="K12" s="87">
        <f>G5</f>
        <v>2.5</v>
      </c>
      <c r="L12" s="87">
        <f>G25</f>
        <v>6236.4094778971476</v>
      </c>
      <c r="M12" s="87">
        <f>G27</f>
        <v>1508.6276238136477</v>
      </c>
    </row>
    <row r="13" spans="1:13" ht="14.4" x14ac:dyDescent="0.3">
      <c r="A13" s="64" t="s">
        <v>44</v>
      </c>
      <c r="B13" s="69"/>
      <c r="C13" s="69"/>
      <c r="D13" s="21">
        <v>414.90600000000001</v>
      </c>
      <c r="E13" s="21">
        <v>416.745</v>
      </c>
      <c r="F13" s="21">
        <v>418.584</v>
      </c>
      <c r="G13" s="21">
        <v>422.262</v>
      </c>
      <c r="H13" s="21">
        <v>425.94</v>
      </c>
      <c r="I13" s="21">
        <v>429.61800000000005</v>
      </c>
      <c r="K13" s="87">
        <f>H5</f>
        <v>3</v>
      </c>
      <c r="L13" s="87">
        <f>H25</f>
        <v>7365.2412860926088</v>
      </c>
      <c r="M13" s="87">
        <f>H27</f>
        <v>1508.6276238136477</v>
      </c>
    </row>
    <row r="14" spans="1:13" ht="14.4" x14ac:dyDescent="0.3">
      <c r="A14" s="64" t="s">
        <v>45</v>
      </c>
      <c r="B14" s="69"/>
      <c r="C14" s="69"/>
      <c r="D14" s="21">
        <v>770.6</v>
      </c>
      <c r="E14" s="21">
        <v>770.6</v>
      </c>
      <c r="F14" s="21">
        <v>770.6</v>
      </c>
      <c r="G14" s="21">
        <v>770.6</v>
      </c>
      <c r="H14" s="21">
        <v>770.6</v>
      </c>
      <c r="I14" s="21">
        <v>770.6</v>
      </c>
      <c r="K14" s="87">
        <f>I5</f>
        <v>3.5</v>
      </c>
      <c r="L14" s="87">
        <f>I25</f>
        <v>7791.0306602379751</v>
      </c>
      <c r="M14" s="87">
        <f>I27</f>
        <v>1508.6276238136477</v>
      </c>
    </row>
    <row r="15" spans="1:13" x14ac:dyDescent="0.25">
      <c r="A15" s="64" t="s">
        <v>46</v>
      </c>
      <c r="B15" s="69"/>
      <c r="C15" s="69"/>
      <c r="D15" s="21">
        <v>225.4</v>
      </c>
      <c r="E15" s="21">
        <v>225.4</v>
      </c>
      <c r="F15" s="21">
        <v>225.4</v>
      </c>
      <c r="G15" s="21">
        <v>225.4</v>
      </c>
      <c r="H15" s="21">
        <v>225.4</v>
      </c>
      <c r="I15" s="21">
        <v>384.3</v>
      </c>
    </row>
    <row r="16" spans="1:13" x14ac:dyDescent="0.25">
      <c r="A16" s="64" t="s">
        <v>47</v>
      </c>
      <c r="B16" s="69"/>
      <c r="C16" s="69"/>
      <c r="D16" s="21">
        <v>139.25924999999998</v>
      </c>
      <c r="E16" s="21">
        <v>162.46912500000002</v>
      </c>
      <c r="F16" s="21">
        <v>185.679</v>
      </c>
      <c r="G16" s="21">
        <v>232.09875</v>
      </c>
      <c r="H16" s="21">
        <v>278.51849999999996</v>
      </c>
      <c r="I16" s="21">
        <v>324.93825000000004</v>
      </c>
    </row>
    <row r="17" spans="1:10" x14ac:dyDescent="0.25">
      <c r="A17" s="64" t="s">
        <v>49</v>
      </c>
      <c r="B17" s="69"/>
      <c r="C17" s="69"/>
      <c r="D17" s="21">
        <v>334.99558313004468</v>
      </c>
      <c r="E17" s="21">
        <v>352.95402417652275</v>
      </c>
      <c r="F17" s="21">
        <v>362.7125072309824</v>
      </c>
      <c r="G17" s="21">
        <v>373.17565330988805</v>
      </c>
      <c r="H17" s="21">
        <v>440.72294137577131</v>
      </c>
      <c r="I17" s="21">
        <v>466.20142036793061</v>
      </c>
    </row>
    <row r="18" spans="1:10" x14ac:dyDescent="0.25">
      <c r="A18" s="64" t="s">
        <v>50</v>
      </c>
      <c r="B18" s="69"/>
      <c r="C18" s="69"/>
      <c r="D18" s="21">
        <v>0</v>
      </c>
      <c r="E18" s="21">
        <v>0</v>
      </c>
      <c r="F18" s="21">
        <v>0</v>
      </c>
      <c r="G18" s="21">
        <v>0</v>
      </c>
      <c r="H18" s="21">
        <v>0</v>
      </c>
      <c r="I18" s="21">
        <v>0</v>
      </c>
    </row>
    <row r="19" spans="1:10" x14ac:dyDescent="0.25">
      <c r="A19" s="64" t="s">
        <v>51</v>
      </c>
      <c r="B19" s="69"/>
      <c r="C19" s="69"/>
      <c r="D19" s="21">
        <v>271.37700000000001</v>
      </c>
      <c r="E19" s="21">
        <v>316.60649999999998</v>
      </c>
      <c r="F19" s="21">
        <v>361.83600000000001</v>
      </c>
      <c r="G19" s="21">
        <v>452.29500000000002</v>
      </c>
      <c r="H19" s="21">
        <v>542.75400000000002</v>
      </c>
      <c r="I19" s="21">
        <v>633.21299999999997</v>
      </c>
    </row>
    <row r="20" spans="1:10" x14ac:dyDescent="0.25">
      <c r="A20" s="64" t="s">
        <v>52</v>
      </c>
      <c r="B20" s="69"/>
      <c r="C20" s="69"/>
      <c r="D20" s="21">
        <v>0</v>
      </c>
      <c r="E20" s="21">
        <v>0</v>
      </c>
      <c r="F20" s="21">
        <v>0</v>
      </c>
      <c r="G20" s="21">
        <v>0</v>
      </c>
      <c r="H20" s="21">
        <v>0</v>
      </c>
      <c r="I20" s="21">
        <v>0</v>
      </c>
    </row>
    <row r="21" spans="1:10" x14ac:dyDescent="0.25">
      <c r="A21" s="64" t="s">
        <v>53</v>
      </c>
      <c r="B21" s="69"/>
      <c r="C21" s="69"/>
      <c r="D21" s="21">
        <v>0</v>
      </c>
      <c r="E21" s="21">
        <v>0</v>
      </c>
      <c r="F21" s="21">
        <v>0</v>
      </c>
      <c r="G21" s="21">
        <v>0</v>
      </c>
      <c r="H21" s="21">
        <v>0</v>
      </c>
      <c r="I21" s="21">
        <v>0</v>
      </c>
    </row>
    <row r="22" spans="1:10" x14ac:dyDescent="0.25">
      <c r="A22" s="64" t="s">
        <v>54</v>
      </c>
      <c r="B22" s="69"/>
      <c r="C22" s="69"/>
      <c r="D22" s="21">
        <v>0</v>
      </c>
      <c r="E22" s="21">
        <v>0</v>
      </c>
      <c r="F22" s="21">
        <v>0</v>
      </c>
      <c r="G22" s="21">
        <v>0</v>
      </c>
      <c r="H22" s="21">
        <v>0</v>
      </c>
      <c r="I22" s="21">
        <v>0</v>
      </c>
    </row>
    <row r="23" spans="1:10" x14ac:dyDescent="0.25">
      <c r="A23" s="64" t="s">
        <v>55</v>
      </c>
      <c r="B23" s="69"/>
      <c r="C23" s="69"/>
      <c r="D23" s="21">
        <v>0</v>
      </c>
      <c r="E23" s="21">
        <v>0</v>
      </c>
      <c r="F23" s="21">
        <v>0</v>
      </c>
      <c r="G23" s="21">
        <v>0</v>
      </c>
      <c r="H23" s="21">
        <v>0</v>
      </c>
      <c r="I23" s="21">
        <v>0</v>
      </c>
    </row>
    <row r="24" spans="1:10" ht="13.8" thickBot="1" x14ac:dyDescent="0.3">
      <c r="A24" s="64" t="s">
        <v>56</v>
      </c>
      <c r="B24" s="69"/>
      <c r="C24" s="69"/>
      <c r="D24" s="21">
        <v>279.25284152780387</v>
      </c>
      <c r="E24" s="21">
        <v>294.22302604421208</v>
      </c>
      <c r="F24" s="21">
        <v>302.35771276603947</v>
      </c>
      <c r="G24" s="21">
        <v>311.07980768608098</v>
      </c>
      <c r="H24" s="21">
        <v>367.38733256043889</v>
      </c>
      <c r="I24" s="21">
        <v>388.62623245842633</v>
      </c>
    </row>
    <row r="25" spans="1:10" ht="26.25" customHeight="1" thickBot="1" x14ac:dyDescent="0.3">
      <c r="A25" s="361" t="s">
        <v>57</v>
      </c>
      <c r="B25" s="362"/>
      <c r="C25" s="363"/>
      <c r="D25" s="22">
        <f t="shared" ref="D25:I25" si="1">SUM(D9:D24)</f>
        <v>5598.3545849145448</v>
      </c>
      <c r="E25" s="22">
        <f t="shared" si="1"/>
        <v>5898.4711411720618</v>
      </c>
      <c r="F25" s="22">
        <f t="shared" si="1"/>
        <v>6061.5522416429822</v>
      </c>
      <c r="G25" s="22">
        <f t="shared" si="1"/>
        <v>6236.4094778971476</v>
      </c>
      <c r="H25" s="22">
        <f t="shared" si="1"/>
        <v>7365.2412860926088</v>
      </c>
      <c r="I25" s="22">
        <f t="shared" si="1"/>
        <v>7791.0306602379751</v>
      </c>
    </row>
    <row r="26" spans="1:10" ht="13.8" thickBot="1" x14ac:dyDescent="0.3">
      <c r="A26" s="70"/>
      <c r="B26" s="71"/>
      <c r="C26" s="71"/>
      <c r="D26" s="23"/>
      <c r="E26" s="23"/>
      <c r="F26" s="23"/>
      <c r="G26" s="23"/>
      <c r="H26" s="23"/>
      <c r="I26" s="23"/>
    </row>
    <row r="27" spans="1:10" ht="13.8" thickBot="1" x14ac:dyDescent="0.3">
      <c r="A27" s="375" t="s">
        <v>58</v>
      </c>
      <c r="B27" s="376"/>
      <c r="C27" s="377"/>
      <c r="D27" s="22">
        <v>1508.6276238136477</v>
      </c>
      <c r="E27" s="22">
        <v>1508.6276238136477</v>
      </c>
      <c r="F27" s="22">
        <v>1508.6276238136477</v>
      </c>
      <c r="G27" s="22">
        <v>1508.6276238136477</v>
      </c>
      <c r="H27" s="22">
        <v>1508.6276238136477</v>
      </c>
      <c r="I27" s="22">
        <v>1508.6276238136477</v>
      </c>
      <c r="J27" s="18"/>
    </row>
    <row r="28" spans="1:10" ht="13.8" thickBot="1" x14ac:dyDescent="0.3">
      <c r="A28" s="70"/>
      <c r="B28" s="71"/>
      <c r="C28" s="71"/>
      <c r="D28" s="23"/>
      <c r="E28" s="23"/>
      <c r="F28" s="23"/>
      <c r="G28" s="23"/>
      <c r="H28" s="23"/>
      <c r="I28" s="23"/>
    </row>
    <row r="29" spans="1:10" ht="27.75" customHeight="1" thickBot="1" x14ac:dyDescent="0.3">
      <c r="A29" s="361" t="s">
        <v>59</v>
      </c>
      <c r="B29" s="362"/>
      <c r="C29" s="363"/>
      <c r="D29" s="22">
        <f t="shared" ref="D29:I29" si="2">D25+D27</f>
        <v>7106.9822087281927</v>
      </c>
      <c r="E29" s="22">
        <f t="shared" si="2"/>
        <v>7407.0987649857097</v>
      </c>
      <c r="F29" s="22">
        <f t="shared" si="2"/>
        <v>7570.1798654566301</v>
      </c>
      <c r="G29" s="22">
        <f t="shared" si="2"/>
        <v>7745.0371017107955</v>
      </c>
      <c r="H29" s="22">
        <f t="shared" si="2"/>
        <v>8873.8689099062558</v>
      </c>
      <c r="I29" s="22">
        <f t="shared" si="2"/>
        <v>9299.6582840516221</v>
      </c>
    </row>
    <row r="30" spans="1:10" ht="13.8" thickBot="1" x14ac:dyDescent="0.3">
      <c r="A30" s="65"/>
      <c r="B30" s="66"/>
      <c r="C30" s="66"/>
      <c r="D30" s="25"/>
      <c r="E30" s="25"/>
      <c r="F30" s="25"/>
      <c r="G30" s="25"/>
      <c r="H30" s="25"/>
      <c r="I30" s="25"/>
    </row>
    <row r="31" spans="1:10" ht="26.25" customHeight="1" thickBot="1" x14ac:dyDescent="0.3">
      <c r="A31" s="361" t="s">
        <v>60</v>
      </c>
      <c r="B31" s="357"/>
      <c r="C31" s="365"/>
      <c r="D31" s="22">
        <f t="shared" ref="D31:I31" si="3">D29/D5</f>
        <v>4737.9881391521285</v>
      </c>
      <c r="E31" s="22">
        <f t="shared" si="3"/>
        <v>4232.6278657061202</v>
      </c>
      <c r="F31" s="22">
        <f t="shared" si="3"/>
        <v>3785.089932728315</v>
      </c>
      <c r="G31" s="22">
        <f t="shared" si="3"/>
        <v>3098.0148406843182</v>
      </c>
      <c r="H31" s="22">
        <f t="shared" si="3"/>
        <v>2957.9563033020854</v>
      </c>
      <c r="I31" s="22">
        <f t="shared" si="3"/>
        <v>2657.0452240147492</v>
      </c>
    </row>
    <row r="32" spans="1:10" ht="13.8" thickBot="1" x14ac:dyDescent="0.3">
      <c r="A32" s="65"/>
      <c r="B32" s="66"/>
      <c r="C32" s="66"/>
      <c r="D32" s="25"/>
      <c r="E32" s="25"/>
      <c r="F32" s="25"/>
      <c r="G32" s="25"/>
      <c r="H32" s="25"/>
      <c r="I32" s="25"/>
    </row>
    <row r="33" spans="1:10" ht="13.8" thickBot="1" x14ac:dyDescent="0.3">
      <c r="A33" s="63" t="s">
        <v>61</v>
      </c>
      <c r="B33" s="73"/>
      <c r="C33" s="73"/>
      <c r="D33" s="22">
        <f>'Pryse + Sensatiwiteitsanalise'!D5</f>
        <v>259.17</v>
      </c>
      <c r="E33" s="22">
        <f>$D$33</f>
        <v>259.17</v>
      </c>
      <c r="F33" s="22">
        <f>$D$33</f>
        <v>259.17</v>
      </c>
      <c r="G33" s="22">
        <f>$D$33</f>
        <v>259.17</v>
      </c>
      <c r="H33" s="22">
        <f>$D$33</f>
        <v>259.17</v>
      </c>
      <c r="I33" s="22">
        <f>$D$33</f>
        <v>259.17</v>
      </c>
    </row>
    <row r="34" spans="1:10" ht="13.8" thickBot="1" x14ac:dyDescent="0.3">
      <c r="A34" s="65"/>
      <c r="B34" s="66"/>
      <c r="C34" s="66"/>
      <c r="D34" s="25"/>
      <c r="E34" s="25"/>
      <c r="F34" s="25"/>
      <c r="G34" s="25"/>
      <c r="H34" s="25"/>
      <c r="I34" s="25"/>
    </row>
    <row r="35" spans="1:10" ht="13.8" thickBot="1" x14ac:dyDescent="0.3">
      <c r="A35" s="356" t="s">
        <v>62</v>
      </c>
      <c r="B35" s="357"/>
      <c r="C35" s="365"/>
      <c r="D35" s="24">
        <f t="shared" ref="D35:I35" si="4">D31+D33</f>
        <v>4997.1581391521286</v>
      </c>
      <c r="E35" s="24">
        <f t="shared" si="4"/>
        <v>4491.7978657061203</v>
      </c>
      <c r="F35" s="24">
        <f t="shared" si="4"/>
        <v>4044.2599327283151</v>
      </c>
      <c r="G35" s="24">
        <f t="shared" si="4"/>
        <v>3357.1848406843183</v>
      </c>
      <c r="H35" s="24">
        <f t="shared" si="4"/>
        <v>3217.1263033020855</v>
      </c>
      <c r="I35" s="24">
        <f t="shared" si="4"/>
        <v>2916.2152240147493</v>
      </c>
    </row>
    <row r="36" spans="1:10" ht="13.8" thickBot="1" x14ac:dyDescent="0.3">
      <c r="A36" s="59" t="s">
        <v>78</v>
      </c>
      <c r="B36" s="60"/>
      <c r="C36" s="61"/>
      <c r="D36" s="24">
        <f>'Pryse + Sensatiwiteitsanalise'!B5</f>
        <v>8345</v>
      </c>
      <c r="E36" s="24">
        <f>$D$36</f>
        <v>8345</v>
      </c>
      <c r="F36" s="24">
        <f>$D$36</f>
        <v>8345</v>
      </c>
      <c r="G36" s="24">
        <f>$D$36</f>
        <v>8345</v>
      </c>
      <c r="H36" s="24">
        <f>$D$36</f>
        <v>8345</v>
      </c>
      <c r="I36" s="24">
        <f>$D$36</f>
        <v>8345</v>
      </c>
    </row>
    <row r="37" spans="1:10" ht="14.4" x14ac:dyDescent="0.25">
      <c r="A37" s="83" t="s">
        <v>66</v>
      </c>
      <c r="B37" s="82"/>
      <c r="C37" s="82"/>
      <c r="D37" s="82"/>
      <c r="E37" s="82"/>
      <c r="F37" s="82"/>
      <c r="G37" s="82"/>
      <c r="H37" s="81"/>
      <c r="I37" s="84"/>
      <c r="J37" s="84"/>
    </row>
    <row r="38" spans="1:10" ht="14.4" x14ac:dyDescent="0.25">
      <c r="A38" s="80" t="s">
        <v>67</v>
      </c>
      <c r="B38" s="79"/>
      <c r="C38" s="79"/>
      <c r="D38" s="79"/>
      <c r="E38" s="79"/>
      <c r="F38" s="79"/>
      <c r="G38" s="79"/>
      <c r="H38" s="78"/>
      <c r="I38" s="84"/>
      <c r="J38" s="84"/>
    </row>
    <row r="39" spans="1:10" ht="15" thickBot="1" x14ac:dyDescent="0.3">
      <c r="A39" s="77" t="s">
        <v>68</v>
      </c>
      <c r="B39" s="76"/>
      <c r="C39" s="76"/>
      <c r="D39" s="76"/>
      <c r="E39" s="76"/>
      <c r="F39" s="76"/>
      <c r="G39" s="76"/>
      <c r="H39" s="75"/>
      <c r="I39" s="84"/>
      <c r="J39" s="84"/>
    </row>
  </sheetData>
  <mergeCells count="10">
    <mergeCell ref="K7:M7"/>
    <mergeCell ref="A27:C27"/>
    <mergeCell ref="A29:C29"/>
    <mergeCell ref="A31:C31"/>
    <mergeCell ref="A35:C35"/>
    <mergeCell ref="A1:D1"/>
    <mergeCell ref="E1:G1"/>
    <mergeCell ref="A3:C3"/>
    <mergeCell ref="A8:C8"/>
    <mergeCell ref="A25:C25"/>
  </mergeCells>
  <pageMargins left="0.70866141732283472" right="0.70866141732283472" top="0.74803149606299213" bottom="0.74803149606299213" header="0.31496062992125984" footer="0.31496062992125984"/>
  <pageSetup scale="56" fitToHeight="0" orientation="portrait" r:id="rId1"/>
  <headerFooter>
    <oddHeader>&amp;F</oddHeader>
    <oddFooter>&amp;A&amp;RPage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7"/>
  <sheetViews>
    <sheetView zoomScale="70" zoomScaleNormal="70" workbookViewId="0">
      <selection activeCell="D31" sqref="D31"/>
    </sheetView>
  </sheetViews>
  <sheetFormatPr defaultColWidth="9.109375" defaultRowHeight="14.4" x14ac:dyDescent="0.3"/>
  <cols>
    <col min="1" max="1" width="41.6640625" style="142" customWidth="1"/>
    <col min="2" max="2" width="10.6640625" style="142" customWidth="1"/>
    <col min="3" max="3" width="36.5546875" style="142" customWidth="1"/>
    <col min="4" max="9" width="13.6640625" style="142" customWidth="1"/>
    <col min="10" max="10" width="14.44140625" style="142" customWidth="1"/>
    <col min="11" max="13" width="12.6640625" style="142" hidden="1" customWidth="1"/>
    <col min="14" max="26" width="12.6640625" style="142" customWidth="1"/>
    <col min="27" max="16384" width="9.109375" style="142"/>
  </cols>
  <sheetData>
    <row r="1" spans="1:13" ht="30" customHeight="1" thickBot="1" x14ac:dyDescent="0.35">
      <c r="A1" s="328" t="s">
        <v>156</v>
      </c>
      <c r="B1" s="329"/>
      <c r="C1" s="329"/>
      <c r="D1" s="329"/>
      <c r="E1" s="330" t="s">
        <v>79</v>
      </c>
      <c r="F1" s="330"/>
      <c r="G1" s="330"/>
      <c r="H1" s="222"/>
      <c r="I1" s="219"/>
    </row>
    <row r="2" spans="1:13" ht="15" thickBot="1" x14ac:dyDescent="0.35">
      <c r="A2" s="143"/>
      <c r="B2" s="144"/>
      <c r="C2" s="145"/>
      <c r="D2" s="145"/>
      <c r="E2" s="145"/>
      <c r="F2" s="145"/>
      <c r="G2" s="145"/>
      <c r="H2" s="145"/>
      <c r="I2" s="146"/>
    </row>
    <row r="3" spans="1:13" ht="27.75" customHeight="1" thickBot="1" x14ac:dyDescent="0.35">
      <c r="A3" s="336" t="s">
        <v>32</v>
      </c>
      <c r="B3" s="349"/>
      <c r="C3" s="349"/>
      <c r="D3" s="147"/>
      <c r="E3" s="202">
        <f>'Pryse + Sensatiwiteitsanalise'!B45</f>
        <v>8085.83</v>
      </c>
      <c r="F3" s="147" t="s">
        <v>33</v>
      </c>
      <c r="G3" s="149"/>
      <c r="H3" s="149"/>
      <c r="I3" s="150"/>
    </row>
    <row r="4" spans="1:13" ht="15" thickBot="1" x14ac:dyDescent="0.35">
      <c r="A4" s="151"/>
      <c r="B4" s="152"/>
      <c r="C4" s="152"/>
      <c r="D4" s="153"/>
      <c r="E4" s="154"/>
      <c r="F4" s="155"/>
      <c r="G4" s="156"/>
      <c r="H4" s="157"/>
      <c r="I4" s="157"/>
    </row>
    <row r="5" spans="1:13" ht="15" thickBot="1" x14ac:dyDescent="0.35">
      <c r="A5" s="151" t="s">
        <v>34</v>
      </c>
      <c r="B5" s="152"/>
      <c r="C5" s="152"/>
      <c r="D5" s="158">
        <v>1.5</v>
      </c>
      <c r="E5" s="158">
        <v>1.75</v>
      </c>
      <c r="F5" s="158">
        <v>2</v>
      </c>
      <c r="G5" s="158">
        <v>2.5</v>
      </c>
      <c r="H5" s="158">
        <v>3</v>
      </c>
      <c r="I5" s="158">
        <v>3.5</v>
      </c>
    </row>
    <row r="6" spans="1:13" ht="15" thickBot="1" x14ac:dyDescent="0.35">
      <c r="A6" s="159" t="s">
        <v>35</v>
      </c>
      <c r="B6" s="160"/>
      <c r="C6" s="161"/>
      <c r="D6" s="162">
        <v>12128.744999999999</v>
      </c>
      <c r="E6" s="162">
        <v>14150.202499999999</v>
      </c>
      <c r="F6" s="162">
        <v>16171.66</v>
      </c>
      <c r="G6" s="162">
        <v>20214.575000000001</v>
      </c>
      <c r="H6" s="162">
        <v>24257.489999999998</v>
      </c>
      <c r="I6" s="162">
        <v>28300.404999999999</v>
      </c>
    </row>
    <row r="7" spans="1:13" ht="15" thickBot="1" x14ac:dyDescent="0.35">
      <c r="A7" s="163"/>
      <c r="B7" s="164"/>
      <c r="C7" s="164"/>
      <c r="D7" s="165"/>
      <c r="E7" s="165"/>
      <c r="F7" s="165"/>
      <c r="G7" s="165"/>
      <c r="H7" s="165"/>
      <c r="I7" s="165"/>
      <c r="K7" s="345" t="s">
        <v>74</v>
      </c>
      <c r="L7" s="345"/>
      <c r="M7" s="345"/>
    </row>
    <row r="8" spans="1:13" ht="15" thickBot="1" x14ac:dyDescent="0.35">
      <c r="A8" s="378" t="s">
        <v>36</v>
      </c>
      <c r="B8" s="379"/>
      <c r="C8" s="380"/>
      <c r="D8" s="166"/>
      <c r="E8" s="166"/>
      <c r="F8" s="166"/>
      <c r="G8" s="166"/>
      <c r="H8" s="166"/>
      <c r="I8" s="166"/>
      <c r="K8" s="167" t="s">
        <v>37</v>
      </c>
      <c r="L8" s="167" t="s">
        <v>38</v>
      </c>
      <c r="M8" s="167" t="s">
        <v>39</v>
      </c>
    </row>
    <row r="9" spans="1:13" x14ac:dyDescent="0.3">
      <c r="A9" s="168" t="s">
        <v>40</v>
      </c>
      <c r="B9" s="169"/>
      <c r="C9" s="169"/>
      <c r="D9" s="170">
        <v>2267.9662799999996</v>
      </c>
      <c r="E9" s="170">
        <v>2267.9662799999996</v>
      </c>
      <c r="F9" s="170">
        <v>2267.9662799999996</v>
      </c>
      <c r="G9" s="170">
        <v>2267.9662799999996</v>
      </c>
      <c r="H9" s="170">
        <v>2645.9606599999997</v>
      </c>
      <c r="I9" s="170">
        <v>2645.9606599999997</v>
      </c>
      <c r="K9" s="171">
        <f>D5</f>
        <v>1.5</v>
      </c>
      <c r="L9" s="171">
        <f>D26</f>
        <v>13035.055451656897</v>
      </c>
      <c r="M9" s="171">
        <f>D28</f>
        <v>4159.01</v>
      </c>
    </row>
    <row r="10" spans="1:13" x14ac:dyDescent="0.3">
      <c r="A10" s="172" t="s">
        <v>41</v>
      </c>
      <c r="B10" s="173"/>
      <c r="C10" s="173"/>
      <c r="D10" s="174">
        <v>3513.5750000000003</v>
      </c>
      <c r="E10" s="174">
        <v>4028.3375000000005</v>
      </c>
      <c r="F10" s="174">
        <v>4543.1000000000004</v>
      </c>
      <c r="G10" s="174">
        <v>5572.625</v>
      </c>
      <c r="H10" s="174">
        <v>6602.1500000000005</v>
      </c>
      <c r="I10" s="174">
        <v>7631.6750000000011</v>
      </c>
      <c r="K10" s="171">
        <f>E5</f>
        <v>1.75</v>
      </c>
      <c r="L10" s="171">
        <f>E26</f>
        <v>13744.935658333003</v>
      </c>
      <c r="M10" s="171">
        <f>E28</f>
        <v>4159.01</v>
      </c>
    </row>
    <row r="11" spans="1:13" x14ac:dyDescent="0.3">
      <c r="A11" s="172" t="s">
        <v>42</v>
      </c>
      <c r="B11" s="173"/>
      <c r="C11" s="173"/>
      <c r="D11" s="174">
        <v>800</v>
      </c>
      <c r="E11" s="174">
        <v>800</v>
      </c>
      <c r="F11" s="174">
        <v>800</v>
      </c>
      <c r="G11" s="174">
        <v>800</v>
      </c>
      <c r="H11" s="174">
        <v>800</v>
      </c>
      <c r="I11" s="174">
        <v>800</v>
      </c>
      <c r="K11" s="171">
        <f>F5</f>
        <v>2</v>
      </c>
      <c r="L11" s="171">
        <f>F26</f>
        <v>14454.815865009106</v>
      </c>
      <c r="M11" s="171">
        <f>F28</f>
        <v>4159.01</v>
      </c>
    </row>
    <row r="12" spans="1:13" x14ac:dyDescent="0.3">
      <c r="A12" s="172" t="s">
        <v>43</v>
      </c>
      <c r="B12" s="173"/>
      <c r="C12" s="173"/>
      <c r="D12" s="174">
        <v>882.19304</v>
      </c>
      <c r="E12" s="174">
        <v>901.70803999999998</v>
      </c>
      <c r="F12" s="174">
        <v>921.22303999999997</v>
      </c>
      <c r="G12" s="174">
        <v>947.24304000000006</v>
      </c>
      <c r="H12" s="174">
        <v>973.26304000000005</v>
      </c>
      <c r="I12" s="174">
        <v>999.28304000000003</v>
      </c>
      <c r="K12" s="171">
        <f>G5</f>
        <v>2.5</v>
      </c>
      <c r="L12" s="171">
        <f>G26</f>
        <v>15860.067276209604</v>
      </c>
      <c r="M12" s="171">
        <f>G28</f>
        <v>4159.01</v>
      </c>
    </row>
    <row r="13" spans="1:13" x14ac:dyDescent="0.3">
      <c r="A13" s="172" t="s">
        <v>44</v>
      </c>
      <c r="B13" s="173"/>
      <c r="C13" s="173"/>
      <c r="D13" s="174">
        <v>976.69499999999994</v>
      </c>
      <c r="E13" s="174">
        <v>977.88333333333333</v>
      </c>
      <c r="F13" s="174">
        <v>979.0716666666666</v>
      </c>
      <c r="G13" s="174">
        <v>981.44833333333327</v>
      </c>
      <c r="H13" s="174">
        <v>983.82499999999993</v>
      </c>
      <c r="I13" s="174">
        <v>986.2016666666666</v>
      </c>
      <c r="K13" s="171">
        <f>H5</f>
        <v>3</v>
      </c>
      <c r="L13" s="171">
        <f>H26</f>
        <v>17686.865287929311</v>
      </c>
      <c r="M13" s="171">
        <f>H28</f>
        <v>4159.01</v>
      </c>
    </row>
    <row r="14" spans="1:13" x14ac:dyDescent="0.3">
      <c r="A14" s="172" t="s">
        <v>45</v>
      </c>
      <c r="B14" s="173"/>
      <c r="C14" s="173"/>
      <c r="D14" s="174">
        <v>1479</v>
      </c>
      <c r="E14" s="174">
        <v>1479</v>
      </c>
      <c r="F14" s="174">
        <v>1479</v>
      </c>
      <c r="G14" s="174">
        <v>1479</v>
      </c>
      <c r="H14" s="174">
        <v>1479</v>
      </c>
      <c r="I14" s="174">
        <v>1479</v>
      </c>
      <c r="K14" s="171">
        <f>I5</f>
        <v>3.5</v>
      </c>
      <c r="L14" s="171">
        <f>I26</f>
        <v>19092.116699129805</v>
      </c>
      <c r="M14" s="171">
        <f>I28</f>
        <v>4159.01</v>
      </c>
    </row>
    <row r="15" spans="1:13" x14ac:dyDescent="0.3">
      <c r="A15" s="172" t="s">
        <v>46</v>
      </c>
      <c r="B15" s="173"/>
      <c r="C15" s="173"/>
      <c r="D15" s="174">
        <v>462.46799999999996</v>
      </c>
      <c r="E15" s="174">
        <v>462.46799999999996</v>
      </c>
      <c r="F15" s="174">
        <v>462.46799999999996</v>
      </c>
      <c r="G15" s="174">
        <v>462.46799999999996</v>
      </c>
      <c r="H15" s="174">
        <v>462.46799999999996</v>
      </c>
      <c r="I15" s="174">
        <v>462.46799999999996</v>
      </c>
    </row>
    <row r="16" spans="1:13" x14ac:dyDescent="0.3">
      <c r="A16" s="172" t="s">
        <v>47</v>
      </c>
      <c r="B16" s="173"/>
      <c r="C16" s="173"/>
      <c r="D16" s="174"/>
      <c r="E16" s="174"/>
      <c r="F16" s="174"/>
      <c r="G16" s="174"/>
      <c r="H16" s="174"/>
      <c r="I16" s="174"/>
    </row>
    <row r="17" spans="1:10" x14ac:dyDescent="0.3">
      <c r="A17" s="172" t="s">
        <v>49</v>
      </c>
      <c r="B17" s="173"/>
      <c r="C17" s="173"/>
      <c r="D17" s="174">
        <v>594.40319363429603</v>
      </c>
      <c r="E17" s="174">
        <v>626.77398511354636</v>
      </c>
      <c r="F17" s="174">
        <v>659.14477659279669</v>
      </c>
      <c r="G17" s="174">
        <v>723.22474386063845</v>
      </c>
      <c r="H17" s="174">
        <v>806.52738697697089</v>
      </c>
      <c r="I17" s="174">
        <v>870.60735424481288</v>
      </c>
    </row>
    <row r="18" spans="1:10" x14ac:dyDescent="0.3">
      <c r="A18" s="172" t="str">
        <f>'Yellow-Roundup R mielies '!A17</f>
        <v>Besproeiingskoste / Irrigation costs</v>
      </c>
      <c r="B18" s="173"/>
      <c r="C18" s="173"/>
      <c r="D18" s="174"/>
      <c r="E18" s="174"/>
      <c r="F18" s="174"/>
      <c r="G18" s="174"/>
      <c r="H18" s="174"/>
      <c r="I18" s="174"/>
    </row>
    <row r="19" spans="1:10" x14ac:dyDescent="0.3">
      <c r="A19" s="172" t="s">
        <v>50</v>
      </c>
      <c r="B19" s="173"/>
      <c r="C19" s="173"/>
      <c r="D19" s="174"/>
      <c r="E19" s="174"/>
      <c r="F19" s="174"/>
      <c r="G19" s="174"/>
      <c r="H19" s="174"/>
      <c r="I19" s="174"/>
    </row>
    <row r="20" spans="1:10" x14ac:dyDescent="0.3">
      <c r="A20" s="172" t="s">
        <v>51</v>
      </c>
      <c r="B20" s="173"/>
      <c r="C20" s="173"/>
      <c r="D20" s="174">
        <v>606.43724999999995</v>
      </c>
      <c r="E20" s="174">
        <v>707.51012500000002</v>
      </c>
      <c r="F20" s="174">
        <v>808.58300000000008</v>
      </c>
      <c r="G20" s="174">
        <v>1010.7287500000001</v>
      </c>
      <c r="H20" s="174">
        <v>1212.8744999999999</v>
      </c>
      <c r="I20" s="174">
        <v>1415.02025</v>
      </c>
    </row>
    <row r="21" spans="1:10" x14ac:dyDescent="0.3">
      <c r="A21" s="172" t="s">
        <v>52</v>
      </c>
      <c r="B21" s="173"/>
      <c r="C21" s="173"/>
      <c r="D21" s="174">
        <v>200</v>
      </c>
      <c r="E21" s="174">
        <v>200</v>
      </c>
      <c r="F21" s="174">
        <v>200</v>
      </c>
      <c r="G21" s="174">
        <v>200</v>
      </c>
      <c r="H21" s="174">
        <v>200</v>
      </c>
      <c r="I21" s="174">
        <v>200</v>
      </c>
    </row>
    <row r="22" spans="1:10" x14ac:dyDescent="0.3">
      <c r="A22" s="172" t="s">
        <v>53</v>
      </c>
      <c r="B22" s="173"/>
      <c r="C22" s="173"/>
      <c r="D22" s="174">
        <v>500</v>
      </c>
      <c r="E22" s="174">
        <v>500</v>
      </c>
      <c r="F22" s="174">
        <v>500</v>
      </c>
      <c r="G22" s="174">
        <v>500</v>
      </c>
      <c r="H22" s="174">
        <v>500</v>
      </c>
      <c r="I22" s="174">
        <v>500</v>
      </c>
    </row>
    <row r="23" spans="1:10" x14ac:dyDescent="0.3">
      <c r="A23" s="172" t="s">
        <v>54</v>
      </c>
      <c r="B23" s="173"/>
      <c r="C23" s="173"/>
      <c r="D23" s="174"/>
      <c r="E23" s="174"/>
      <c r="F23" s="174"/>
      <c r="G23" s="174"/>
      <c r="H23" s="174"/>
      <c r="I23" s="174"/>
    </row>
    <row r="24" spans="1:10" x14ac:dyDescent="0.3">
      <c r="A24" s="172" t="s">
        <v>55</v>
      </c>
      <c r="B24" s="173"/>
      <c r="C24" s="173"/>
      <c r="D24" s="174"/>
      <c r="E24" s="174"/>
      <c r="F24" s="174"/>
      <c r="G24" s="174"/>
      <c r="H24" s="174"/>
      <c r="I24" s="174"/>
    </row>
    <row r="25" spans="1:10" ht="15" thickBot="1" x14ac:dyDescent="0.35">
      <c r="A25" s="172" t="s">
        <v>56</v>
      </c>
      <c r="B25" s="173"/>
      <c r="C25" s="173"/>
      <c r="D25" s="174">
        <v>752.31768802260069</v>
      </c>
      <c r="E25" s="174">
        <v>793.28839488612141</v>
      </c>
      <c r="F25" s="174">
        <v>834.25910174964213</v>
      </c>
      <c r="G25" s="174">
        <v>915.36312901563088</v>
      </c>
      <c r="H25" s="174">
        <v>1020.7967009523396</v>
      </c>
      <c r="I25" s="174">
        <v>1101.9007282183281</v>
      </c>
    </row>
    <row r="26" spans="1:10" ht="15" thickBot="1" x14ac:dyDescent="0.35">
      <c r="A26" s="336" t="s">
        <v>57</v>
      </c>
      <c r="B26" s="337"/>
      <c r="C26" s="338"/>
      <c r="D26" s="175">
        <f>SUM(D9:D25)</f>
        <v>13035.055451656897</v>
      </c>
      <c r="E26" s="175">
        <f t="shared" ref="E26:I26" si="0">SUM(E9:E25)</f>
        <v>13744.935658333003</v>
      </c>
      <c r="F26" s="175">
        <f t="shared" si="0"/>
        <v>14454.815865009106</v>
      </c>
      <c r="G26" s="175">
        <f t="shared" si="0"/>
        <v>15860.067276209604</v>
      </c>
      <c r="H26" s="175">
        <f t="shared" si="0"/>
        <v>17686.865287929311</v>
      </c>
      <c r="I26" s="175">
        <f t="shared" si="0"/>
        <v>19092.116699129805</v>
      </c>
    </row>
    <row r="27" spans="1:10" ht="15" thickBot="1" x14ac:dyDescent="0.35">
      <c r="A27" s="176"/>
      <c r="B27" s="177"/>
      <c r="C27" s="177"/>
      <c r="D27" s="178"/>
      <c r="E27" s="178"/>
      <c r="F27" s="178"/>
      <c r="G27" s="178"/>
      <c r="H27" s="178"/>
      <c r="I27" s="178"/>
    </row>
    <row r="28" spans="1:10" ht="15" thickBot="1" x14ac:dyDescent="0.35">
      <c r="A28" s="346" t="s">
        <v>58</v>
      </c>
      <c r="B28" s="347"/>
      <c r="C28" s="348"/>
      <c r="D28" s="179">
        <v>4159.01</v>
      </c>
      <c r="E28" s="175">
        <v>4159.01</v>
      </c>
      <c r="F28" s="175">
        <v>4159.01</v>
      </c>
      <c r="G28" s="175">
        <v>4159.01</v>
      </c>
      <c r="H28" s="175">
        <v>4159.01</v>
      </c>
      <c r="I28" s="175">
        <v>4159.01</v>
      </c>
      <c r="J28" s="180"/>
    </row>
    <row r="29" spans="1:10" ht="15" thickBot="1" x14ac:dyDescent="0.35">
      <c r="A29" s="176"/>
      <c r="B29" s="177"/>
      <c r="C29" s="177"/>
      <c r="D29" s="178"/>
      <c r="E29" s="178"/>
      <c r="F29" s="178"/>
      <c r="G29" s="178"/>
      <c r="H29" s="178"/>
      <c r="I29" s="178"/>
    </row>
    <row r="30" spans="1:10" ht="15" thickBot="1" x14ac:dyDescent="0.35">
      <c r="A30" s="336" t="s">
        <v>59</v>
      </c>
      <c r="B30" s="337"/>
      <c r="C30" s="338"/>
      <c r="D30" s="175">
        <f>D26+D28</f>
        <v>17194.065451656897</v>
      </c>
      <c r="E30" s="175">
        <f t="shared" ref="E30:I30" si="1">E26+E28</f>
        <v>17903.945658333003</v>
      </c>
      <c r="F30" s="175">
        <f t="shared" si="1"/>
        <v>18613.825865009108</v>
      </c>
      <c r="G30" s="175">
        <f t="shared" si="1"/>
        <v>20019.077276209602</v>
      </c>
      <c r="H30" s="175">
        <f t="shared" si="1"/>
        <v>21845.87528792931</v>
      </c>
      <c r="I30" s="175">
        <f t="shared" si="1"/>
        <v>23251.126699129803</v>
      </c>
    </row>
    <row r="31" spans="1:10" ht="15" thickBot="1" x14ac:dyDescent="0.35">
      <c r="A31" s="163"/>
      <c r="B31" s="164"/>
      <c r="C31" s="164"/>
      <c r="D31" s="181"/>
      <c r="E31" s="181"/>
      <c r="F31" s="181"/>
      <c r="G31" s="181"/>
      <c r="H31" s="181"/>
      <c r="I31" s="181"/>
    </row>
    <row r="32" spans="1:10" ht="15" thickBot="1" x14ac:dyDescent="0.35">
      <c r="A32" s="336" t="s">
        <v>60</v>
      </c>
      <c r="B32" s="349"/>
      <c r="C32" s="350"/>
      <c r="D32" s="175">
        <f>D30/D5</f>
        <v>11462.710301104598</v>
      </c>
      <c r="E32" s="175">
        <f t="shared" ref="E32:I32" si="2">E30/E5</f>
        <v>10230.826090476001</v>
      </c>
      <c r="F32" s="175">
        <f t="shared" si="2"/>
        <v>9306.9129325045542</v>
      </c>
      <c r="G32" s="175">
        <f t="shared" si="2"/>
        <v>8007.630910483841</v>
      </c>
      <c r="H32" s="175">
        <f t="shared" si="2"/>
        <v>7281.9584293097696</v>
      </c>
      <c r="I32" s="175">
        <f t="shared" si="2"/>
        <v>6643.1790568942297</v>
      </c>
    </row>
    <row r="33" spans="1:10" ht="15" thickBot="1" x14ac:dyDescent="0.35">
      <c r="A33" s="163"/>
      <c r="B33" s="164"/>
      <c r="C33" s="164"/>
      <c r="D33" s="181"/>
      <c r="E33" s="181"/>
      <c r="F33" s="181"/>
      <c r="G33" s="181"/>
      <c r="H33" s="181"/>
      <c r="I33" s="181"/>
    </row>
    <row r="34" spans="1:10" ht="15" thickBot="1" x14ac:dyDescent="0.35">
      <c r="A34" s="159" t="s">
        <v>61</v>
      </c>
      <c r="B34" s="160"/>
      <c r="C34" s="160"/>
      <c r="D34" s="175">
        <f>Sojabone!D34</f>
        <v>259.17</v>
      </c>
      <c r="E34" s="175">
        <f>Sojabone!E34</f>
        <v>259.17</v>
      </c>
      <c r="F34" s="175">
        <f>Sojabone!F34</f>
        <v>259.17</v>
      </c>
      <c r="G34" s="175">
        <f>Sojabone!G34</f>
        <v>259.17</v>
      </c>
      <c r="H34" s="175">
        <f>Sojabone!H34</f>
        <v>259.17</v>
      </c>
      <c r="I34" s="175">
        <f>Sojabone!I34</f>
        <v>259.17</v>
      </c>
    </row>
    <row r="35" spans="1:10" ht="15" thickBot="1" x14ac:dyDescent="0.35">
      <c r="A35" s="163"/>
      <c r="B35" s="164"/>
      <c r="C35" s="164"/>
      <c r="D35" s="181"/>
      <c r="E35" s="181"/>
      <c r="F35" s="181"/>
      <c r="G35" s="181"/>
      <c r="H35" s="181"/>
      <c r="I35" s="181"/>
    </row>
    <row r="36" spans="1:10" ht="15" thickBot="1" x14ac:dyDescent="0.35">
      <c r="A36" s="328" t="s">
        <v>62</v>
      </c>
      <c r="B36" s="351"/>
      <c r="C36" s="352"/>
      <c r="D36" s="182">
        <f>D32+D34</f>
        <v>11721.880301104598</v>
      </c>
      <c r="E36" s="182">
        <f t="shared" ref="E36:I36" si="3">E32+E34</f>
        <v>10489.996090476001</v>
      </c>
      <c r="F36" s="182">
        <f t="shared" si="3"/>
        <v>9566.0829325045543</v>
      </c>
      <c r="G36" s="182">
        <f t="shared" si="3"/>
        <v>8266.8009104838402</v>
      </c>
      <c r="H36" s="182">
        <f t="shared" si="3"/>
        <v>7541.1284293097697</v>
      </c>
      <c r="I36" s="182">
        <f t="shared" si="3"/>
        <v>6902.3490568942298</v>
      </c>
    </row>
    <row r="37" spans="1:10" ht="15" thickBot="1" x14ac:dyDescent="0.35">
      <c r="A37" s="183" t="s">
        <v>75</v>
      </c>
      <c r="B37" s="184"/>
      <c r="C37" s="185"/>
      <c r="D37" s="182">
        <f>'Pryse + Sensatiwiteitsanalise'!B5</f>
        <v>8345</v>
      </c>
      <c r="E37" s="182">
        <f>$D$37</f>
        <v>8345</v>
      </c>
      <c r="F37" s="182">
        <f>$D$37</f>
        <v>8345</v>
      </c>
      <c r="G37" s="182">
        <f>$D$37</f>
        <v>8345</v>
      </c>
      <c r="H37" s="182">
        <f>$D$37</f>
        <v>8345</v>
      </c>
      <c r="I37" s="182">
        <f>$D$37</f>
        <v>8345</v>
      </c>
    </row>
    <row r="38" spans="1:10" ht="15" thickBot="1" x14ac:dyDescent="0.35">
      <c r="D38" s="186"/>
      <c r="E38" s="186"/>
      <c r="F38" s="186"/>
      <c r="G38" s="186"/>
      <c r="H38" s="186"/>
      <c r="I38" s="186"/>
    </row>
    <row r="39" spans="1:10" s="189" customFormat="1" x14ac:dyDescent="0.3">
      <c r="A39" s="339" t="s">
        <v>64</v>
      </c>
      <c r="B39" s="340"/>
      <c r="C39" s="341"/>
      <c r="D39" s="187">
        <f t="shared" ref="D39:I39" si="4">D6-D26</f>
        <v>-906.31045165689829</v>
      </c>
      <c r="E39" s="188">
        <f t="shared" si="4"/>
        <v>405.2668416669967</v>
      </c>
      <c r="F39" s="187">
        <f t="shared" si="4"/>
        <v>1716.8441349908935</v>
      </c>
      <c r="G39" s="188">
        <f t="shared" si="4"/>
        <v>4354.507723790397</v>
      </c>
      <c r="H39" s="187">
        <f t="shared" si="4"/>
        <v>6570.6247120706867</v>
      </c>
      <c r="I39" s="187">
        <f t="shared" si="4"/>
        <v>9208.2883008701938</v>
      </c>
    </row>
    <row r="40" spans="1:10" s="189" customFormat="1" ht="15" thickBot="1" x14ac:dyDescent="0.35">
      <c r="A40" s="342" t="s">
        <v>65</v>
      </c>
      <c r="B40" s="343"/>
      <c r="C40" s="344"/>
      <c r="D40" s="210">
        <f t="shared" ref="D40:I40" si="5">D6-D30</f>
        <v>-5065.3204516568985</v>
      </c>
      <c r="E40" s="211">
        <f t="shared" si="5"/>
        <v>-3753.7431583330035</v>
      </c>
      <c r="F40" s="210">
        <f t="shared" si="5"/>
        <v>-2442.1658650091085</v>
      </c>
      <c r="G40" s="211">
        <f t="shared" si="5"/>
        <v>195.4977237903986</v>
      </c>
      <c r="H40" s="210">
        <f t="shared" si="5"/>
        <v>2411.6147120706883</v>
      </c>
      <c r="I40" s="210">
        <f t="shared" si="5"/>
        <v>5049.2783008701954</v>
      </c>
    </row>
    <row r="41" spans="1:10" x14ac:dyDescent="0.3">
      <c r="A41" s="192" t="s">
        <v>151</v>
      </c>
      <c r="B41" s="193"/>
      <c r="C41" s="193"/>
      <c r="D41" s="193"/>
      <c r="E41" s="193"/>
      <c r="F41" s="193"/>
      <c r="G41" s="193"/>
      <c r="H41" s="193"/>
      <c r="I41" s="226"/>
      <c r="J41" s="195"/>
    </row>
    <row r="42" spans="1:10" x14ac:dyDescent="0.3">
      <c r="A42" s="196" t="s">
        <v>67</v>
      </c>
      <c r="B42" s="197"/>
      <c r="C42" s="197"/>
      <c r="D42" s="197"/>
      <c r="E42" s="197"/>
      <c r="F42" s="197"/>
      <c r="G42" s="197"/>
      <c r="H42" s="197"/>
      <c r="I42" s="227"/>
      <c r="J42" s="195"/>
    </row>
    <row r="43" spans="1:10" ht="15" thickBot="1" x14ac:dyDescent="0.35">
      <c r="A43" s="199" t="s">
        <v>68</v>
      </c>
      <c r="B43" s="200"/>
      <c r="C43" s="200"/>
      <c r="D43" s="200"/>
      <c r="E43" s="200"/>
      <c r="F43" s="200"/>
      <c r="G43" s="200"/>
      <c r="H43" s="200"/>
      <c r="I43" s="228"/>
      <c r="J43" s="195"/>
    </row>
    <row r="44" spans="1:10" x14ac:dyDescent="0.3">
      <c r="A44" s="322" t="s">
        <v>69</v>
      </c>
      <c r="B44" s="323"/>
      <c r="C44" s="323"/>
      <c r="D44" s="323"/>
      <c r="E44" s="323"/>
      <c r="F44" s="323"/>
      <c r="G44" s="323"/>
      <c r="H44" s="323"/>
      <c r="I44" s="216"/>
    </row>
    <row r="45" spans="1:10" x14ac:dyDescent="0.3">
      <c r="A45" s="324"/>
      <c r="B45" s="325"/>
      <c r="C45" s="325"/>
      <c r="D45" s="325"/>
      <c r="E45" s="325"/>
      <c r="F45" s="325"/>
      <c r="G45" s="325"/>
      <c r="H45" s="325"/>
      <c r="I45" s="217"/>
    </row>
    <row r="46" spans="1:10" x14ac:dyDescent="0.3">
      <c r="A46" s="324"/>
      <c r="B46" s="325"/>
      <c r="C46" s="325"/>
      <c r="D46" s="325"/>
      <c r="E46" s="325"/>
      <c r="F46" s="325"/>
      <c r="G46" s="325"/>
      <c r="H46" s="325"/>
      <c r="I46" s="217"/>
    </row>
    <row r="47" spans="1:10" ht="15" thickBot="1" x14ac:dyDescent="0.35">
      <c r="A47" s="326"/>
      <c r="B47" s="327"/>
      <c r="C47" s="327"/>
      <c r="D47" s="327"/>
      <c r="E47" s="327"/>
      <c r="F47" s="327"/>
      <c r="G47" s="327"/>
      <c r="H47" s="327"/>
      <c r="I47" s="218"/>
    </row>
  </sheetData>
  <mergeCells count="13">
    <mergeCell ref="K7:M7"/>
    <mergeCell ref="A8:C8"/>
    <mergeCell ref="A26:C26"/>
    <mergeCell ref="A28:C28"/>
    <mergeCell ref="A30:C30"/>
    <mergeCell ref="A44:H47"/>
    <mergeCell ref="A39:C39"/>
    <mergeCell ref="A40:C40"/>
    <mergeCell ref="A36:C36"/>
    <mergeCell ref="A1:D1"/>
    <mergeCell ref="E1:G1"/>
    <mergeCell ref="A3:C3"/>
    <mergeCell ref="A32:C32"/>
  </mergeCells>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6" fitToHeight="0" orientation="portrait" r:id="rId1"/>
  <headerFooter alignWithMargins="0">
    <oddHeader>&amp;F</oddHeader>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47"/>
  <sheetViews>
    <sheetView topLeftCell="A6" zoomScale="70" zoomScaleNormal="70" workbookViewId="0">
      <selection activeCell="K15" sqref="K15"/>
    </sheetView>
  </sheetViews>
  <sheetFormatPr defaultColWidth="9.109375" defaultRowHeight="14.4" x14ac:dyDescent="0.3"/>
  <cols>
    <col min="1" max="1" width="41.6640625" style="142" customWidth="1"/>
    <col min="2" max="2" width="18" style="142" customWidth="1"/>
    <col min="3" max="3" width="30" style="142" customWidth="1"/>
    <col min="4" max="4" width="16.109375" style="142" customWidth="1"/>
    <col min="5" max="8" width="14.33203125" style="142" customWidth="1"/>
    <col min="9" max="25" width="12.6640625" style="142" customWidth="1"/>
    <col min="26" max="16384" width="9.109375" style="142"/>
  </cols>
  <sheetData>
    <row r="1" spans="1:12" ht="33" customHeight="1" thickBot="1" x14ac:dyDescent="0.35">
      <c r="A1" s="395" t="s">
        <v>157</v>
      </c>
      <c r="B1" s="329"/>
      <c r="C1" s="329"/>
      <c r="D1" s="329"/>
      <c r="E1" s="330" t="s">
        <v>79</v>
      </c>
      <c r="F1" s="330"/>
      <c r="G1" s="330"/>
      <c r="H1" s="222"/>
    </row>
    <row r="2" spans="1:12" ht="15" thickBot="1" x14ac:dyDescent="0.35">
      <c r="A2" s="143"/>
      <c r="B2" s="144"/>
      <c r="C2" s="145"/>
      <c r="D2" s="145"/>
      <c r="E2" s="145"/>
      <c r="F2" s="145"/>
      <c r="G2" s="145"/>
      <c r="H2" s="145"/>
    </row>
    <row r="3" spans="1:12" ht="32.4" customHeight="1" thickBot="1" x14ac:dyDescent="0.35">
      <c r="A3" s="336" t="s">
        <v>32</v>
      </c>
      <c r="B3" s="349"/>
      <c r="C3" s="349"/>
      <c r="D3" s="147"/>
      <c r="E3" s="202">
        <f>'Pryse + Sensatiwiteitsanalise'!B71</f>
        <v>3407.75</v>
      </c>
      <c r="F3" s="147" t="s">
        <v>33</v>
      </c>
      <c r="G3" s="149"/>
      <c r="H3" s="149"/>
    </row>
    <row r="4" spans="1:12" ht="15" thickBot="1" x14ac:dyDescent="0.35">
      <c r="A4" s="151"/>
      <c r="B4" s="152"/>
      <c r="C4" s="152"/>
      <c r="D4" s="153"/>
      <c r="E4" s="154"/>
      <c r="F4" s="155"/>
      <c r="G4" s="156"/>
      <c r="H4" s="157"/>
    </row>
    <row r="5" spans="1:12" ht="15" thickBot="1" x14ac:dyDescent="0.35">
      <c r="A5" s="151" t="s">
        <v>34</v>
      </c>
      <c r="B5" s="152"/>
      <c r="C5" s="152"/>
      <c r="D5" s="229">
        <v>4</v>
      </c>
      <c r="E5" s="229">
        <v>4.5</v>
      </c>
      <c r="F5" s="229">
        <v>5</v>
      </c>
      <c r="G5" s="229">
        <v>5.5</v>
      </c>
      <c r="H5" s="229">
        <v>6</v>
      </c>
    </row>
    <row r="6" spans="1:12" ht="15" thickBot="1" x14ac:dyDescent="0.35">
      <c r="A6" s="159" t="s">
        <v>35</v>
      </c>
      <c r="B6" s="160"/>
      <c r="C6" s="161"/>
      <c r="D6" s="162">
        <v>13565.000000000002</v>
      </c>
      <c r="E6" s="162">
        <v>15260.625000000002</v>
      </c>
      <c r="F6" s="162">
        <v>16956.250000000004</v>
      </c>
      <c r="G6" s="162">
        <v>18651.875000000004</v>
      </c>
      <c r="H6" s="162">
        <v>20347.500000000004</v>
      </c>
    </row>
    <row r="7" spans="1:12" ht="15" thickBot="1" x14ac:dyDescent="0.35">
      <c r="A7" s="163"/>
      <c r="B7" s="164"/>
      <c r="C7" s="164"/>
      <c r="D7" s="165"/>
      <c r="E7" s="165"/>
      <c r="F7" s="165"/>
      <c r="G7" s="165"/>
      <c r="H7" s="165"/>
      <c r="J7" s="345"/>
      <c r="K7" s="345"/>
      <c r="L7" s="345"/>
    </row>
    <row r="8" spans="1:12" ht="15" thickBot="1" x14ac:dyDescent="0.35">
      <c r="A8" s="378" t="s">
        <v>36</v>
      </c>
      <c r="B8" s="379"/>
      <c r="C8" s="380"/>
      <c r="D8" s="166"/>
      <c r="E8" s="166"/>
      <c r="F8" s="166"/>
      <c r="G8" s="166"/>
      <c r="H8" s="166"/>
      <c r="J8" s="167"/>
      <c r="K8" s="167"/>
      <c r="L8" s="167"/>
    </row>
    <row r="9" spans="1:12" x14ac:dyDescent="0.3">
      <c r="A9" s="168" t="s">
        <v>40</v>
      </c>
      <c r="B9" s="169"/>
      <c r="C9" s="169"/>
      <c r="D9" s="170">
        <v>938.18760000000009</v>
      </c>
      <c r="E9" s="170">
        <v>938.18760000000009</v>
      </c>
      <c r="F9" s="170">
        <v>938.18760000000009</v>
      </c>
      <c r="G9" s="170">
        <v>1072.2144000000001</v>
      </c>
      <c r="H9" s="170">
        <v>1072.2144000000001</v>
      </c>
      <c r="J9" s="171"/>
      <c r="K9" s="171"/>
      <c r="L9" s="171"/>
    </row>
    <row r="10" spans="1:12" x14ac:dyDescent="0.3">
      <c r="A10" s="172" t="s">
        <v>41</v>
      </c>
      <c r="B10" s="173"/>
      <c r="C10" s="173"/>
      <c r="D10" s="174">
        <v>4524.3600000000006</v>
      </c>
      <c r="E10" s="174">
        <v>5077.4050000000007</v>
      </c>
      <c r="F10" s="174">
        <v>5630.4500000000007</v>
      </c>
      <c r="G10" s="174">
        <v>6183.4949999999999</v>
      </c>
      <c r="H10" s="174">
        <v>6736.54</v>
      </c>
      <c r="J10" s="171"/>
      <c r="K10" s="171"/>
      <c r="L10" s="171"/>
    </row>
    <row r="11" spans="1:12" x14ac:dyDescent="0.3">
      <c r="A11" s="172" t="s">
        <v>42</v>
      </c>
      <c r="B11" s="173"/>
      <c r="C11" s="173"/>
      <c r="D11" s="174">
        <v>800</v>
      </c>
      <c r="E11" s="174">
        <v>800</v>
      </c>
      <c r="F11" s="174">
        <v>800</v>
      </c>
      <c r="G11" s="174">
        <v>800</v>
      </c>
      <c r="H11" s="174">
        <v>800</v>
      </c>
      <c r="J11" s="171"/>
      <c r="K11" s="171"/>
      <c r="L11" s="171"/>
    </row>
    <row r="12" spans="1:12" x14ac:dyDescent="0.3">
      <c r="A12" s="172" t="s">
        <v>43</v>
      </c>
      <c r="B12" s="173"/>
      <c r="C12" s="173"/>
      <c r="D12" s="174">
        <v>1650.616544</v>
      </c>
      <c r="E12" s="174">
        <v>1676.636544</v>
      </c>
      <c r="F12" s="174">
        <v>1702.6565439999999</v>
      </c>
      <c r="G12" s="174">
        <v>1728.6765439999999</v>
      </c>
      <c r="H12" s="174">
        <v>1754.6965439999999</v>
      </c>
      <c r="J12" s="171"/>
      <c r="K12" s="171"/>
      <c r="L12" s="171"/>
    </row>
    <row r="13" spans="1:12" x14ac:dyDescent="0.3">
      <c r="A13" s="172" t="s">
        <v>44</v>
      </c>
      <c r="B13" s="173"/>
      <c r="C13" s="173"/>
      <c r="D13" s="174">
        <v>1276.2287333333334</v>
      </c>
      <c r="E13" s="174">
        <v>1278.6053999999999</v>
      </c>
      <c r="F13" s="174">
        <v>1280.9820666666665</v>
      </c>
      <c r="G13" s="174">
        <v>1283.3587333333332</v>
      </c>
      <c r="H13" s="174">
        <v>1285.7354</v>
      </c>
      <c r="J13" s="171"/>
      <c r="K13" s="171"/>
      <c r="L13" s="171"/>
    </row>
    <row r="14" spans="1:12" x14ac:dyDescent="0.3">
      <c r="A14" s="172" t="s">
        <v>45</v>
      </c>
      <c r="B14" s="173"/>
      <c r="C14" s="173"/>
      <c r="D14" s="174">
        <v>1068.96</v>
      </c>
      <c r="E14" s="174">
        <v>1068.96</v>
      </c>
      <c r="F14" s="174">
        <v>1068.96</v>
      </c>
      <c r="G14" s="174">
        <v>1068.96</v>
      </c>
      <c r="H14" s="174">
        <v>1068.96</v>
      </c>
      <c r="J14" s="171"/>
      <c r="K14" s="171"/>
      <c r="L14" s="171"/>
    </row>
    <row r="15" spans="1:12" x14ac:dyDescent="0.3">
      <c r="A15" s="172" t="s">
        <v>46</v>
      </c>
      <c r="B15" s="173"/>
      <c r="C15" s="173"/>
      <c r="D15" s="174">
        <v>768.46799999999996</v>
      </c>
      <c r="E15" s="174">
        <v>768.46799999999996</v>
      </c>
      <c r="F15" s="174">
        <v>768.46799999999996</v>
      </c>
      <c r="G15" s="174">
        <v>768.46799999999996</v>
      </c>
      <c r="H15" s="174">
        <v>768.46799999999996</v>
      </c>
    </row>
    <row r="16" spans="1:12" x14ac:dyDescent="0.3">
      <c r="A16" s="172" t="s">
        <v>47</v>
      </c>
      <c r="B16" s="173"/>
      <c r="C16" s="173"/>
      <c r="D16" s="174"/>
      <c r="E16" s="174"/>
      <c r="F16" s="174"/>
      <c r="G16" s="174"/>
      <c r="H16" s="174"/>
    </row>
    <row r="17" spans="1:8" x14ac:dyDescent="0.3">
      <c r="A17" s="172" t="s">
        <v>49</v>
      </c>
      <c r="B17" s="173"/>
      <c r="C17" s="173"/>
      <c r="D17" s="174"/>
      <c r="E17" s="174"/>
      <c r="F17" s="174"/>
      <c r="G17" s="174"/>
      <c r="H17" s="174"/>
    </row>
    <row r="18" spans="1:8" x14ac:dyDescent="0.3">
      <c r="A18" s="172" t="str">
        <f>'Mielie Vermin Bewerk'!A18</f>
        <v>Besproeiingskoste / Irrigation costs</v>
      </c>
      <c r="B18" s="173"/>
      <c r="C18" s="173"/>
      <c r="D18" s="174"/>
      <c r="E18" s="174"/>
      <c r="F18" s="174"/>
      <c r="G18" s="174"/>
      <c r="H18" s="174"/>
    </row>
    <row r="19" spans="1:8" x14ac:dyDescent="0.3">
      <c r="A19" s="172" t="s">
        <v>50</v>
      </c>
      <c r="B19" s="173"/>
      <c r="C19" s="173"/>
      <c r="D19" s="174"/>
      <c r="E19" s="174"/>
      <c r="F19" s="174"/>
      <c r="G19" s="174"/>
      <c r="H19" s="174"/>
    </row>
    <row r="20" spans="1:8" x14ac:dyDescent="0.3">
      <c r="A20" s="172" t="s">
        <v>51</v>
      </c>
      <c r="B20" s="173"/>
      <c r="C20" s="173"/>
      <c r="D20" s="174">
        <v>678.25000000000011</v>
      </c>
      <c r="E20" s="174">
        <v>763.03125000000011</v>
      </c>
      <c r="F20" s="174">
        <v>847.81250000000023</v>
      </c>
      <c r="G20" s="174">
        <v>932.59375000000023</v>
      </c>
      <c r="H20" s="174">
        <v>1017.3750000000002</v>
      </c>
    </row>
    <row r="21" spans="1:8" x14ac:dyDescent="0.3">
      <c r="A21" s="172" t="s">
        <v>52</v>
      </c>
      <c r="B21" s="173"/>
      <c r="C21" s="173"/>
      <c r="D21" s="174">
        <v>200</v>
      </c>
      <c r="E21" s="174">
        <v>200</v>
      </c>
      <c r="F21" s="174">
        <v>200</v>
      </c>
      <c r="G21" s="174">
        <v>200</v>
      </c>
      <c r="H21" s="174">
        <v>200</v>
      </c>
    </row>
    <row r="22" spans="1:8" x14ac:dyDescent="0.3">
      <c r="A22" s="172" t="s">
        <v>53</v>
      </c>
      <c r="B22" s="173"/>
      <c r="C22" s="173"/>
      <c r="D22" s="174">
        <v>500</v>
      </c>
      <c r="E22" s="174">
        <v>500</v>
      </c>
      <c r="F22" s="174">
        <v>500</v>
      </c>
      <c r="G22" s="174">
        <v>500</v>
      </c>
      <c r="H22" s="174">
        <v>500</v>
      </c>
    </row>
    <row r="23" spans="1:8" x14ac:dyDescent="0.3">
      <c r="A23" s="172" t="s">
        <v>54</v>
      </c>
      <c r="B23" s="173"/>
      <c r="C23" s="173"/>
      <c r="D23" s="174"/>
      <c r="E23" s="174"/>
      <c r="F23" s="174"/>
      <c r="G23" s="174"/>
      <c r="H23" s="174"/>
    </row>
    <row r="24" spans="1:8" x14ac:dyDescent="0.3">
      <c r="A24" s="172" t="s">
        <v>55</v>
      </c>
      <c r="B24" s="173"/>
      <c r="C24" s="173"/>
      <c r="D24" s="174"/>
      <c r="E24" s="174"/>
      <c r="F24" s="174"/>
      <c r="G24" s="174"/>
      <c r="H24" s="174"/>
    </row>
    <row r="25" spans="1:8" ht="15" thickBot="1" x14ac:dyDescent="0.35">
      <c r="A25" s="172" t="s">
        <v>56</v>
      </c>
      <c r="B25" s="173"/>
      <c r="C25" s="173"/>
      <c r="D25" s="174">
        <v>759.81059123666682</v>
      </c>
      <c r="E25" s="174">
        <v>800.61674488250003</v>
      </c>
      <c r="F25" s="174">
        <v>841.42289852833335</v>
      </c>
      <c r="G25" s="174">
        <v>890.43819367416654</v>
      </c>
      <c r="H25" s="174">
        <v>931.24434732000009</v>
      </c>
    </row>
    <row r="26" spans="1:8" ht="15" thickBot="1" x14ac:dyDescent="0.35">
      <c r="A26" s="336" t="s">
        <v>57</v>
      </c>
      <c r="B26" s="337"/>
      <c r="C26" s="338"/>
      <c r="D26" s="175">
        <f>SUM(D9:D25)</f>
        <v>13164.881468570002</v>
      </c>
      <c r="E26" s="175">
        <f>SUM(E9:E25)</f>
        <v>13871.910538882501</v>
      </c>
      <c r="F26" s="175">
        <f>SUM(F9:F25)</f>
        <v>14578.939609195</v>
      </c>
      <c r="G26" s="175">
        <f>SUM(G9:G25)</f>
        <v>15428.204621007499</v>
      </c>
      <c r="H26" s="175">
        <f>SUM(H9:H25)</f>
        <v>16135.233691320002</v>
      </c>
    </row>
    <row r="27" spans="1:8" ht="15" thickBot="1" x14ac:dyDescent="0.35">
      <c r="A27" s="176"/>
      <c r="B27" s="177"/>
      <c r="C27" s="177"/>
      <c r="D27" s="178"/>
      <c r="E27" s="178"/>
      <c r="F27" s="178"/>
      <c r="G27" s="178"/>
      <c r="H27" s="178"/>
    </row>
    <row r="28" spans="1:8" ht="15" thickBot="1" x14ac:dyDescent="0.35">
      <c r="A28" s="346" t="s">
        <v>58</v>
      </c>
      <c r="B28" s="347"/>
      <c r="C28" s="348"/>
      <c r="D28" s="179">
        <v>7495.0700000000006</v>
      </c>
      <c r="E28" s="175">
        <v>7495.0700000000006</v>
      </c>
      <c r="F28" s="175">
        <v>7495.0700000000006</v>
      </c>
      <c r="G28" s="175">
        <v>7495.0700000000006</v>
      </c>
      <c r="H28" s="175">
        <v>7495.0700000000006</v>
      </c>
    </row>
    <row r="29" spans="1:8" ht="15" thickBot="1" x14ac:dyDescent="0.35">
      <c r="A29" s="176"/>
      <c r="B29" s="177"/>
      <c r="C29" s="177"/>
      <c r="D29" s="178"/>
      <c r="E29" s="178"/>
      <c r="F29" s="178"/>
      <c r="G29" s="178"/>
      <c r="H29" s="178"/>
    </row>
    <row r="30" spans="1:8" ht="15" thickBot="1" x14ac:dyDescent="0.35">
      <c r="A30" s="336" t="s">
        <v>59</v>
      </c>
      <c r="B30" s="337"/>
      <c r="C30" s="338"/>
      <c r="D30" s="175">
        <f>D26+D28</f>
        <v>20659.951468570001</v>
      </c>
      <c r="E30" s="175">
        <f t="shared" ref="E30:H30" si="0">E26+E28</f>
        <v>21366.980538882501</v>
      </c>
      <c r="F30" s="175">
        <f t="shared" si="0"/>
        <v>22074.009609195</v>
      </c>
      <c r="G30" s="175">
        <f t="shared" si="0"/>
        <v>22923.274621007498</v>
      </c>
      <c r="H30" s="175">
        <f t="shared" si="0"/>
        <v>23630.303691320001</v>
      </c>
    </row>
    <row r="31" spans="1:8" ht="15" thickBot="1" x14ac:dyDescent="0.35">
      <c r="A31" s="163"/>
      <c r="B31" s="164"/>
      <c r="C31" s="164"/>
      <c r="D31" s="181"/>
      <c r="E31" s="181"/>
      <c r="F31" s="181"/>
      <c r="G31" s="181"/>
      <c r="H31" s="181"/>
    </row>
    <row r="32" spans="1:8" ht="15" thickBot="1" x14ac:dyDescent="0.35">
      <c r="A32" s="336" t="s">
        <v>60</v>
      </c>
      <c r="B32" s="349"/>
      <c r="C32" s="350"/>
      <c r="D32" s="175">
        <f>D30/D5</f>
        <v>5164.9878671425004</v>
      </c>
      <c r="E32" s="175">
        <f t="shared" ref="E32:H32" si="1">E30/E5</f>
        <v>4748.2178975294446</v>
      </c>
      <c r="F32" s="175">
        <f t="shared" si="1"/>
        <v>4414.801921839</v>
      </c>
      <c r="G32" s="175">
        <f t="shared" si="1"/>
        <v>4167.8681129104543</v>
      </c>
      <c r="H32" s="175">
        <f t="shared" si="1"/>
        <v>3938.3839485533335</v>
      </c>
    </row>
    <row r="33" spans="1:8" ht="15" thickBot="1" x14ac:dyDescent="0.35">
      <c r="A33" s="163"/>
      <c r="B33" s="164"/>
      <c r="C33" s="164"/>
      <c r="D33" s="181"/>
      <c r="E33" s="181"/>
      <c r="F33" s="181"/>
      <c r="G33" s="181"/>
      <c r="H33" s="181"/>
    </row>
    <row r="34" spans="1:8" ht="15" thickBot="1" x14ac:dyDescent="0.35">
      <c r="A34" s="159" t="s">
        <v>61</v>
      </c>
      <c r="B34" s="160"/>
      <c r="C34" s="160"/>
      <c r="D34" s="175">
        <f>'Pryse + Sensatiwiteitsanalise'!$D$6</f>
        <v>92.25</v>
      </c>
      <c r="E34" s="175">
        <f>'Pryse + Sensatiwiteitsanalise'!$D$6</f>
        <v>92.25</v>
      </c>
      <c r="F34" s="175">
        <f>'Pryse + Sensatiwiteitsanalise'!$D$6</f>
        <v>92.25</v>
      </c>
      <c r="G34" s="175">
        <f>'Pryse + Sensatiwiteitsanalise'!$D$6</f>
        <v>92.25</v>
      </c>
      <c r="H34" s="175">
        <f>'Pryse + Sensatiwiteitsanalise'!$D$6</f>
        <v>92.25</v>
      </c>
    </row>
    <row r="35" spans="1:8" ht="15" thickBot="1" x14ac:dyDescent="0.35">
      <c r="A35" s="163"/>
      <c r="B35" s="164"/>
      <c r="C35" s="164"/>
      <c r="D35" s="181"/>
      <c r="E35" s="181"/>
      <c r="F35" s="181"/>
      <c r="G35" s="181"/>
      <c r="H35" s="181"/>
    </row>
    <row r="36" spans="1:8" ht="15" thickBot="1" x14ac:dyDescent="0.35">
      <c r="A36" s="328" t="s">
        <v>62</v>
      </c>
      <c r="B36" s="351"/>
      <c r="C36" s="352"/>
      <c r="D36" s="182">
        <f>D32+D34</f>
        <v>5257.2378671425004</v>
      </c>
      <c r="E36" s="182">
        <f>E32+E34</f>
        <v>4840.4678975294446</v>
      </c>
      <c r="F36" s="182">
        <f>F32+F34</f>
        <v>4507.051921839</v>
      </c>
      <c r="G36" s="182">
        <f>G32+G34</f>
        <v>4260.1181129104543</v>
      </c>
      <c r="H36" s="182">
        <f>H32+H34</f>
        <v>4030.6339485533335</v>
      </c>
    </row>
    <row r="37" spans="1:8" ht="15" thickBot="1" x14ac:dyDescent="0.35">
      <c r="A37" s="183" t="s">
        <v>80</v>
      </c>
      <c r="B37" s="184"/>
      <c r="C37" s="185"/>
      <c r="D37" s="182">
        <f>'Pryse + Sensatiwiteitsanalise'!B6</f>
        <v>3500</v>
      </c>
      <c r="E37" s="182">
        <f>$D$37</f>
        <v>3500</v>
      </c>
      <c r="F37" s="182">
        <f>$D$37</f>
        <v>3500</v>
      </c>
      <c r="G37" s="182">
        <f>$D$37</f>
        <v>3500</v>
      </c>
      <c r="H37" s="182">
        <f>$D$37</f>
        <v>3500</v>
      </c>
    </row>
    <row r="38" spans="1:8" ht="15" thickBot="1" x14ac:dyDescent="0.35">
      <c r="D38" s="186"/>
      <c r="E38" s="186"/>
      <c r="F38" s="186"/>
      <c r="G38" s="186"/>
      <c r="H38" s="186"/>
    </row>
    <row r="39" spans="1:8" s="189" customFormat="1" x14ac:dyDescent="0.3">
      <c r="A39" s="339" t="s">
        <v>64</v>
      </c>
      <c r="B39" s="340"/>
      <c r="C39" s="341"/>
      <c r="D39" s="187">
        <f>D6-D26</f>
        <v>400.11853143000008</v>
      </c>
      <c r="E39" s="188">
        <f>E6-E26</f>
        <v>1388.7144611175008</v>
      </c>
      <c r="F39" s="187">
        <f>F6-F26</f>
        <v>2377.3103908050034</v>
      </c>
      <c r="G39" s="188">
        <f>G6-G26</f>
        <v>3223.670378992505</v>
      </c>
      <c r="H39" s="187">
        <f>H6-H26</f>
        <v>4212.2663086800021</v>
      </c>
    </row>
    <row r="40" spans="1:8" s="189" customFormat="1" ht="15" thickBot="1" x14ac:dyDescent="0.35">
      <c r="A40" s="390" t="s">
        <v>65</v>
      </c>
      <c r="B40" s="391"/>
      <c r="C40" s="392"/>
      <c r="D40" s="190">
        <f>D6-D30</f>
        <v>-7094.9514685699996</v>
      </c>
      <c r="E40" s="191">
        <f>E6-E30</f>
        <v>-6106.3555388824989</v>
      </c>
      <c r="F40" s="190">
        <f>F6-F30</f>
        <v>-5117.7596091949963</v>
      </c>
      <c r="G40" s="191">
        <f>G6-G30</f>
        <v>-4271.3996210074947</v>
      </c>
      <c r="H40" s="190">
        <f>H6-H30</f>
        <v>-3282.8036913199976</v>
      </c>
    </row>
    <row r="41" spans="1:8" x14ac:dyDescent="0.3">
      <c r="A41" s="192" t="s">
        <v>151</v>
      </c>
      <c r="B41" s="193"/>
      <c r="C41" s="193"/>
      <c r="D41" s="193"/>
      <c r="E41" s="193"/>
      <c r="F41" s="193"/>
      <c r="G41" s="193"/>
      <c r="H41" s="194"/>
    </row>
    <row r="42" spans="1:8" x14ac:dyDescent="0.3">
      <c r="A42" s="196" t="s">
        <v>67</v>
      </c>
      <c r="B42" s="197"/>
      <c r="C42" s="197"/>
      <c r="D42" s="197"/>
      <c r="E42" s="197"/>
      <c r="F42" s="197"/>
      <c r="G42" s="197"/>
      <c r="H42" s="198"/>
    </row>
    <row r="43" spans="1:8" ht="15" thickBot="1" x14ac:dyDescent="0.35">
      <c r="A43" s="199" t="s">
        <v>68</v>
      </c>
      <c r="B43" s="200"/>
      <c r="C43" s="200"/>
      <c r="D43" s="200"/>
      <c r="E43" s="200"/>
      <c r="F43" s="200"/>
      <c r="G43" s="200"/>
      <c r="H43" s="201"/>
    </row>
    <row r="44" spans="1:8" x14ac:dyDescent="0.3">
      <c r="A44" s="322" t="s">
        <v>69</v>
      </c>
      <c r="B44" s="323"/>
      <c r="C44" s="323"/>
      <c r="D44" s="323"/>
      <c r="E44" s="323"/>
      <c r="F44" s="323"/>
      <c r="G44" s="323"/>
      <c r="H44" s="323"/>
    </row>
    <row r="45" spans="1:8" x14ac:dyDescent="0.3">
      <c r="A45" s="324"/>
      <c r="B45" s="325"/>
      <c r="C45" s="325"/>
      <c r="D45" s="325"/>
      <c r="E45" s="325"/>
      <c r="F45" s="325"/>
      <c r="G45" s="325"/>
      <c r="H45" s="325"/>
    </row>
    <row r="46" spans="1:8" x14ac:dyDescent="0.3">
      <c r="A46" s="324"/>
      <c r="B46" s="325"/>
      <c r="C46" s="325"/>
      <c r="D46" s="325"/>
      <c r="E46" s="325"/>
      <c r="F46" s="325"/>
      <c r="G46" s="325"/>
      <c r="H46" s="325"/>
    </row>
    <row r="47" spans="1:8" ht="15" thickBot="1" x14ac:dyDescent="0.35">
      <c r="A47" s="326"/>
      <c r="B47" s="327"/>
      <c r="C47" s="327"/>
      <c r="D47" s="327"/>
      <c r="E47" s="327"/>
      <c r="F47" s="327"/>
      <c r="G47" s="327"/>
      <c r="H47" s="327"/>
    </row>
  </sheetData>
  <mergeCells count="13">
    <mergeCell ref="E1:G1"/>
    <mergeCell ref="A1:D1"/>
    <mergeCell ref="A3:C3"/>
    <mergeCell ref="A8:C8"/>
    <mergeCell ref="A26:C26"/>
    <mergeCell ref="A44:H47"/>
    <mergeCell ref="A39:C39"/>
    <mergeCell ref="A40:C40"/>
    <mergeCell ref="J7:L7"/>
    <mergeCell ref="A30:C30"/>
    <mergeCell ref="A32:C32"/>
    <mergeCell ref="A36:C36"/>
    <mergeCell ref="A28:C28"/>
  </mergeCells>
  <conditionalFormatting sqref="D39:H40">
    <cfRule type="colorScale" priority="61">
      <colorScale>
        <cfvo type="min"/>
        <cfvo type="percentile" val="50"/>
        <cfvo type="max"/>
        <color rgb="FFF8696B"/>
        <color rgb="FFFFEB84"/>
        <color rgb="FF63BE7B"/>
      </colorScale>
    </cfRule>
    <cfRule type="colorScale" priority="62">
      <colorScale>
        <cfvo type="min"/>
        <cfvo type="percentile" val="50"/>
        <cfvo type="max"/>
        <color rgb="FFF8696B"/>
        <color rgb="FFFFEB84"/>
        <color rgb="FF63BE7B"/>
      </colorScale>
    </cfRule>
    <cfRule type="colorScale" priority="6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9" fitToHeight="0" orientation="portrait" verticalDpi="300" r:id="rId1"/>
  <headerFooter alignWithMargins="0">
    <oddHeader>&amp;F</oddHeader>
    <oddFooter>&amp;A&amp;RPage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86"/>
  <sheetViews>
    <sheetView zoomScale="80" zoomScaleNormal="80" workbookViewId="0">
      <pane xSplit="1" topLeftCell="B1" activePane="topRight" state="frozen"/>
      <selection pane="topRight" activeCell="H26" sqref="H26"/>
    </sheetView>
  </sheetViews>
  <sheetFormatPr defaultColWidth="9.109375" defaultRowHeight="14.4" x14ac:dyDescent="0.3"/>
  <cols>
    <col min="1" max="1" width="74.109375" style="250" customWidth="1"/>
    <col min="2" max="2" width="13.109375" style="250" bestFit="1" customWidth="1"/>
    <col min="3" max="3" width="13.109375" style="250" customWidth="1"/>
    <col min="4" max="4" width="21.21875" style="250" bestFit="1" customWidth="1"/>
    <col min="5" max="5" width="21.21875" style="250" customWidth="1"/>
    <col min="6" max="6" width="15.5546875" style="250" customWidth="1"/>
    <col min="7" max="7" width="13.21875" style="250" bestFit="1" customWidth="1"/>
    <col min="8" max="8" width="53.33203125" style="250" bestFit="1" customWidth="1"/>
    <col min="9" max="9" width="19" style="250" bestFit="1" customWidth="1"/>
    <col min="10" max="16384" width="9.109375" style="250"/>
  </cols>
  <sheetData>
    <row r="1" spans="1:9" x14ac:dyDescent="0.3">
      <c r="A1" s="230" t="s">
        <v>158</v>
      </c>
      <c r="B1" s="249" t="s">
        <v>98</v>
      </c>
      <c r="C1" s="249" t="s">
        <v>99</v>
      </c>
      <c r="D1" s="249" t="s">
        <v>100</v>
      </c>
      <c r="E1" s="249" t="s">
        <v>101</v>
      </c>
      <c r="F1" s="249" t="s">
        <v>102</v>
      </c>
    </row>
    <row r="2" spans="1:9" x14ac:dyDescent="0.3">
      <c r="A2" s="231" t="s">
        <v>103</v>
      </c>
      <c r="B2" s="232" t="str">
        <f>'[5]Rent calculations'!C2</f>
        <v>Maize (RR)</v>
      </c>
      <c r="C2" s="232" t="s">
        <v>104</v>
      </c>
      <c r="D2" s="232" t="str">
        <f>'[5]Rent calculations'!F2</f>
        <v>Soy bean (min tillage)</v>
      </c>
      <c r="E2" s="232" t="str">
        <f>'[5]Rent calculations'!G2</f>
        <v>Grain Sorghum</v>
      </c>
      <c r="F2" s="232" t="str">
        <f>'[5]Rent calculations'!H2</f>
        <v>Irr-Maize</v>
      </c>
      <c r="H2" s="250" t="s">
        <v>167</v>
      </c>
      <c r="I2" s="251" t="s">
        <v>163</v>
      </c>
    </row>
    <row r="3" spans="1:9" ht="15" thickBot="1" x14ac:dyDescent="0.35">
      <c r="A3" s="233" t="s">
        <v>105</v>
      </c>
      <c r="B3" s="234"/>
      <c r="C3" s="234"/>
      <c r="D3" s="234"/>
      <c r="E3" s="234"/>
      <c r="F3" s="234"/>
      <c r="I3" s="297" t="s">
        <v>160</v>
      </c>
    </row>
    <row r="4" spans="1:9" x14ac:dyDescent="0.3">
      <c r="A4" s="235" t="s">
        <v>106</v>
      </c>
      <c r="B4" s="306">
        <f>I4</f>
        <v>7.5</v>
      </c>
      <c r="C4" s="306">
        <f>I5</f>
        <v>2.23</v>
      </c>
      <c r="D4" s="306">
        <f>I5</f>
        <v>2.23</v>
      </c>
      <c r="E4" s="306">
        <f>I6</f>
        <v>4.9000000000000004</v>
      </c>
      <c r="F4" s="306">
        <f>'Bes-mielies'!D5</f>
        <v>10</v>
      </c>
      <c r="H4" s="298" t="s">
        <v>166</v>
      </c>
      <c r="I4" s="301">
        <v>7.5</v>
      </c>
    </row>
    <row r="5" spans="1:9" s="251" customFormat="1" x14ac:dyDescent="0.3">
      <c r="A5" s="235" t="s">
        <v>107</v>
      </c>
      <c r="B5" s="252">
        <f>'Pryse + Sensatiwiteitsanalise'!B4</f>
        <v>4177</v>
      </c>
      <c r="C5" s="252">
        <f>'Pryse + Sensatiwiteitsanalise'!B5</f>
        <v>8345</v>
      </c>
      <c r="D5" s="252">
        <f>C5</f>
        <v>8345</v>
      </c>
      <c r="E5" s="252">
        <f>'Pryse + Sensatiwiteitsanalise'!B6</f>
        <v>3500</v>
      </c>
      <c r="F5" s="252">
        <f>B5</f>
        <v>4177</v>
      </c>
      <c r="H5" s="299" t="s">
        <v>161</v>
      </c>
      <c r="I5" s="302">
        <v>2.23</v>
      </c>
    </row>
    <row r="6" spans="1:9" s="251" customFormat="1" ht="15" thickBot="1" x14ac:dyDescent="0.35">
      <c r="A6" s="235" t="s">
        <v>108</v>
      </c>
      <c r="B6" s="252">
        <f>'Pryse + Sensatiwiteitsanalise'!D4</f>
        <v>406.25</v>
      </c>
      <c r="C6" s="252">
        <f>'Pryse + Sensatiwiteitsanalise'!D5</f>
        <v>259.17</v>
      </c>
      <c r="D6" s="252">
        <f>C6</f>
        <v>259.17</v>
      </c>
      <c r="E6" s="252">
        <f>'Pryse + Sensatiwiteitsanalise'!D6</f>
        <v>92.25</v>
      </c>
      <c r="F6" s="252">
        <f>B6</f>
        <v>406.25</v>
      </c>
      <c r="H6" s="300" t="s">
        <v>162</v>
      </c>
      <c r="I6" s="303">
        <v>4.9000000000000004</v>
      </c>
    </row>
    <row r="7" spans="1:9" s="251" customFormat="1" ht="15" thickBot="1" x14ac:dyDescent="0.35">
      <c r="A7" s="235" t="s">
        <v>109</v>
      </c>
      <c r="B7" s="253">
        <f t="shared" ref="B7:F7" si="0">B5-B6</f>
        <v>3770.75</v>
      </c>
      <c r="C7" s="253">
        <f t="shared" si="0"/>
        <v>8085.83</v>
      </c>
      <c r="D7" s="253">
        <f t="shared" si="0"/>
        <v>8085.83</v>
      </c>
      <c r="E7" s="253">
        <f t="shared" si="0"/>
        <v>3407.75</v>
      </c>
      <c r="F7" s="253">
        <f t="shared" si="0"/>
        <v>3770.75</v>
      </c>
      <c r="H7" s="305" t="s">
        <v>164</v>
      </c>
      <c r="I7" s="189"/>
    </row>
    <row r="8" spans="1:9" ht="15" thickTop="1" x14ac:dyDescent="0.3">
      <c r="A8" s="230" t="s">
        <v>110</v>
      </c>
      <c r="B8" s="242">
        <f>B4*B7</f>
        <v>28280.625</v>
      </c>
      <c r="C8" s="242">
        <f t="shared" ref="C8:F8" si="1">C4*C7</f>
        <v>18031.400900000001</v>
      </c>
      <c r="D8" s="242">
        <f t="shared" si="1"/>
        <v>18031.400900000001</v>
      </c>
      <c r="E8" s="242">
        <f t="shared" si="1"/>
        <v>16697.975000000002</v>
      </c>
      <c r="F8" s="242">
        <f t="shared" si="1"/>
        <v>37707.5</v>
      </c>
      <c r="H8" s="304" t="s">
        <v>165</v>
      </c>
    </row>
    <row r="9" spans="1:9" x14ac:dyDescent="0.3">
      <c r="A9" s="235"/>
      <c r="B9" s="242"/>
      <c r="C9" s="242"/>
      <c r="D9" s="242"/>
      <c r="E9" s="242"/>
      <c r="F9" s="242"/>
    </row>
    <row r="10" spans="1:9" x14ac:dyDescent="0.3">
      <c r="A10" s="233" t="s">
        <v>111</v>
      </c>
      <c r="B10" s="243"/>
      <c r="C10" s="243"/>
      <c r="D10" s="243"/>
      <c r="E10" s="243"/>
      <c r="F10" s="243"/>
    </row>
    <row r="11" spans="1:9" x14ac:dyDescent="0.3">
      <c r="A11" s="254" t="str">
        <f>'Yellow-Roundup R mielies '!A9</f>
        <v>Saad / Seed</v>
      </c>
      <c r="B11" s="246">
        <f>'Yellow-Roundup R mielies '!H9</f>
        <v>4019.2125000000005</v>
      </c>
      <c r="C11" s="246">
        <f>Sojabone!F9</f>
        <v>2267.9662799999996</v>
      </c>
      <c r="D11" s="246">
        <f>'Sojabone Vermin bewerk'!F9</f>
        <v>2267.9662799999996</v>
      </c>
      <c r="E11" s="246">
        <f>Graansorghum!D9</f>
        <v>938.18760000000009</v>
      </c>
      <c r="F11" s="246">
        <f>'Bes-mielies'!D9</f>
        <v>4110.5625</v>
      </c>
    </row>
    <row r="12" spans="1:9" x14ac:dyDescent="0.3">
      <c r="A12" s="254" t="str">
        <f>'Yellow-Roundup R mielies '!A10</f>
        <v>Kunsmis / Fertiliser</v>
      </c>
      <c r="B12" s="246">
        <f>'Yellow-Roundup R mielies '!H10</f>
        <v>9432.89</v>
      </c>
      <c r="C12" s="246">
        <f>Sojabone!F10</f>
        <v>4543.1000000000004</v>
      </c>
      <c r="D12" s="246">
        <f>'Sojabone Vermin bewerk'!F10</f>
        <v>4543.1000000000004</v>
      </c>
      <c r="E12" s="246">
        <f>Graansorghum!D10</f>
        <v>4524.3600000000006</v>
      </c>
      <c r="F12" s="246">
        <f>'Bes-mielies'!D10</f>
        <v>14220.3</v>
      </c>
    </row>
    <row r="13" spans="1:9" x14ac:dyDescent="0.3">
      <c r="A13" s="254" t="str">
        <f>'Yellow-Roundup R mielies '!A11</f>
        <v>Kalk / Lime</v>
      </c>
      <c r="B13" s="246">
        <f>'Yellow-Roundup R mielies '!H11</f>
        <v>800</v>
      </c>
      <c r="C13" s="246">
        <f>Sojabone!F11</f>
        <v>800</v>
      </c>
      <c r="D13" s="246">
        <f>'Sojabone Vermin bewerk'!F11</f>
        <v>800</v>
      </c>
      <c r="E13" s="246">
        <f>Graansorghum!D11</f>
        <v>800</v>
      </c>
      <c r="F13" s="246">
        <f>'Bes-mielies'!D11</f>
        <v>800</v>
      </c>
      <c r="H13" s="255"/>
    </row>
    <row r="14" spans="1:9" x14ac:dyDescent="0.3">
      <c r="A14" s="254" t="str">
        <f>'Yellow-Roundup R mielies '!A12</f>
        <v>Brandstof / Fuel</v>
      </c>
      <c r="B14" s="246">
        <f>'Yellow-Roundup R mielies '!H12</f>
        <v>1981.0705440000002</v>
      </c>
      <c r="C14" s="246">
        <f>Sojabone!F12</f>
        <v>1624.596544</v>
      </c>
      <c r="D14" s="246">
        <f>'Sojabone Vermin bewerk'!F12</f>
        <v>921.22303999999997</v>
      </c>
      <c r="E14" s="246">
        <f>Graansorghum!D12</f>
        <v>1650.616544</v>
      </c>
      <c r="F14" s="246">
        <f>'Bes-mielies'!D12</f>
        <v>2085.1505440000001</v>
      </c>
    </row>
    <row r="15" spans="1:9" x14ac:dyDescent="0.3">
      <c r="A15" s="254" t="str">
        <f>'Yellow-Roundup R mielies '!A13</f>
        <v>Reparasie / Reparation</v>
      </c>
      <c r="B15" s="246">
        <f>'Yellow-Roundup R mielies '!H13</f>
        <v>1372.2820666666667</v>
      </c>
      <c r="C15" s="246">
        <f>Sojabone!F13</f>
        <v>1195.2570666666666</v>
      </c>
      <c r="D15" s="246">
        <f>'Sojabone Vermin bewerk'!F13</f>
        <v>979.0716666666666</v>
      </c>
      <c r="E15" s="246">
        <f>Graansorghum!D13</f>
        <v>1276.2287333333334</v>
      </c>
      <c r="F15" s="246">
        <f>'Bes-mielies'!D13</f>
        <v>1400.8020666666666</v>
      </c>
    </row>
    <row r="16" spans="1:9" x14ac:dyDescent="0.3">
      <c r="A16" s="254" t="str">
        <f>'Yellow-Roundup R mielies '!A14</f>
        <v>Onkruiddoders / Herbicide</v>
      </c>
      <c r="B16" s="246">
        <f>'Yellow-Roundup R mielies '!H14</f>
        <v>1146.48</v>
      </c>
      <c r="C16" s="246">
        <f>Sojabone!F14</f>
        <v>1020</v>
      </c>
      <c r="D16" s="246">
        <f>'Sojabone Vermin bewerk'!F14</f>
        <v>1479</v>
      </c>
      <c r="E16" s="246">
        <f>Graansorghum!D14</f>
        <v>1068.96</v>
      </c>
      <c r="F16" s="246">
        <f>'Bes-mielies'!D14</f>
        <v>1146.48</v>
      </c>
    </row>
    <row r="17" spans="1:13" x14ac:dyDescent="0.3">
      <c r="A17" s="254" t="str">
        <f>'Yellow-Roundup R mielies '!A15</f>
        <v>Plaagdoder / Pest control</v>
      </c>
      <c r="B17" s="246">
        <f>'Yellow-Roundup R mielies '!H15</f>
        <v>768.46799999999996</v>
      </c>
      <c r="C17" s="246">
        <f>Sojabone!F15</f>
        <v>462.46799999999996</v>
      </c>
      <c r="D17" s="246">
        <f>'Sojabone Vermin bewerk'!F15</f>
        <v>462.46799999999996</v>
      </c>
      <c r="E17" s="246">
        <f>Graansorghum!D15</f>
        <v>768.46799999999996</v>
      </c>
      <c r="F17" s="246">
        <f>'Bes-mielies'!D15</f>
        <v>768.46799999999996</v>
      </c>
    </row>
    <row r="18" spans="1:13" x14ac:dyDescent="0.3">
      <c r="A18" s="254" t="str">
        <f>'Yellow-Roundup R mielies '!A16</f>
        <v>Insetversekering / Input insurance</v>
      </c>
      <c r="B18" s="246"/>
      <c r="C18" s="246"/>
      <c r="D18" s="246"/>
      <c r="E18" s="246"/>
      <c r="F18" s="246"/>
    </row>
    <row r="19" spans="1:13" x14ac:dyDescent="0.3">
      <c r="A19" s="254" t="str">
        <f>'Yellow-Roundup R mielies '!A17</f>
        <v>Besproeiingskoste / Irrigation costs</v>
      </c>
      <c r="B19" s="246"/>
      <c r="C19" s="256"/>
      <c r="D19" s="256"/>
      <c r="E19" s="256"/>
      <c r="F19" s="246">
        <f>'Bes-mielies'!D17</f>
        <v>11848.4</v>
      </c>
    </row>
    <row r="20" spans="1:13" x14ac:dyDescent="0.3">
      <c r="A20" s="254" t="str">
        <f>'Yellow-Roundup R mielies '!A18</f>
        <v>Graanprysverskansing / Grain hedging</v>
      </c>
      <c r="B20" s="246">
        <f>'Yellow-Roundup R mielies '!H18</f>
        <v>2080.2259094341161</v>
      </c>
      <c r="C20" s="246">
        <f>Sojabone!F17</f>
        <v>682.56622143207733</v>
      </c>
      <c r="D20" s="246">
        <f>'Sojabone Vermin bewerk'!F17</f>
        <v>659.14477659279669</v>
      </c>
      <c r="E20" s="256"/>
      <c r="F20" s="246">
        <f>'Bes-mielies'!D18</f>
        <v>3763.1393759924931</v>
      </c>
    </row>
    <row r="21" spans="1:13" x14ac:dyDescent="0.3">
      <c r="A21" s="254" t="str">
        <f>'Yellow-Roundup R mielies '!A19</f>
        <v>Kontrakstroop / Contract Harvesting</v>
      </c>
      <c r="B21" s="246"/>
      <c r="C21" s="246"/>
      <c r="D21" s="246"/>
      <c r="E21" s="256"/>
      <c r="F21" s="246"/>
    </row>
    <row r="22" spans="1:13" x14ac:dyDescent="0.3">
      <c r="A22" s="254" t="str">
        <f>'Yellow-Roundup R mielies '!A20</f>
        <v>Oesversekering / Harvest insurance</v>
      </c>
      <c r="B22" s="246">
        <f>'Yellow-Roundup R mielies '!H20</f>
        <v>1317.8375000000001</v>
      </c>
      <c r="C22" s="246">
        <f>Sojabone!F20</f>
        <v>808.58300000000008</v>
      </c>
      <c r="D22" s="246">
        <f>'Sojabone Vermin bewerk'!F20</f>
        <v>808.58300000000008</v>
      </c>
      <c r="E22" s="246">
        <f>Graansorghum!D20</f>
        <v>678.25000000000011</v>
      </c>
      <c r="F22" s="246">
        <f>'Bes-mielies'!D20</f>
        <v>1882.625</v>
      </c>
    </row>
    <row r="23" spans="1:13" x14ac:dyDescent="0.3">
      <c r="A23" s="254" t="str">
        <f>'Yellow-Roundup R mielies '!A21</f>
        <v>Lugspuit / Aerial spray</v>
      </c>
      <c r="B23" s="246">
        <f>'Yellow-Roundup R mielies '!H21</f>
        <v>200</v>
      </c>
      <c r="C23" s="246">
        <f>Sojabone!F21</f>
        <v>200</v>
      </c>
      <c r="D23" s="246">
        <f>'Sojabone Vermin bewerk'!F21</f>
        <v>200</v>
      </c>
      <c r="E23" s="246">
        <f>Graansorghum!D21</f>
        <v>200</v>
      </c>
      <c r="F23" s="246">
        <f>'Bes-mielies'!D21</f>
        <v>200</v>
      </c>
    </row>
    <row r="24" spans="1:13" x14ac:dyDescent="0.3">
      <c r="A24" s="254" t="str">
        <f>'Yellow-Roundup R mielies '!A22</f>
        <v>Losarbeid / Casual labour</v>
      </c>
      <c r="B24" s="246">
        <f>'Yellow-Roundup R mielies '!H22</f>
        <v>500</v>
      </c>
      <c r="C24" s="246">
        <f>Sojabone!F22</f>
        <v>500</v>
      </c>
      <c r="D24" s="246">
        <f>'Sojabone Vermin bewerk'!F22</f>
        <v>500</v>
      </c>
      <c r="E24" s="246">
        <f>Graansorghum!D22</f>
        <v>500</v>
      </c>
      <c r="F24" s="246">
        <f>'Bes-mielies'!D22</f>
        <v>500</v>
      </c>
    </row>
    <row r="25" spans="1:13" x14ac:dyDescent="0.3">
      <c r="A25" s="254" t="str">
        <f>'Yellow-Roundup R mielies '!A23</f>
        <v>Droogkoste / Drying cost</v>
      </c>
      <c r="B25" s="246"/>
      <c r="C25" s="246"/>
      <c r="D25" s="246"/>
      <c r="E25" s="246"/>
      <c r="F25" s="246"/>
    </row>
    <row r="26" spans="1:13" x14ac:dyDescent="0.3">
      <c r="A26" s="254" t="str">
        <f>'Yellow-Roundup R mielies '!A24</f>
        <v>Verpakking en Pakmateriaal / Packaging and packaging material</v>
      </c>
      <c r="B26" s="246"/>
      <c r="C26" s="246"/>
      <c r="D26" s="246"/>
      <c r="E26" s="246"/>
      <c r="F26" s="246"/>
    </row>
    <row r="27" spans="1:13" x14ac:dyDescent="0.3">
      <c r="A27" s="254" t="str">
        <f>'Yellow-Roundup R mielies '!A25</f>
        <v>Produksiekrediet rente / Interest on production R/ha</v>
      </c>
      <c r="B27" s="246">
        <f>'Yellow-Roundup R mielies '!H25</f>
        <v>1446.6310743561733</v>
      </c>
      <c r="C27" s="246">
        <f>Sojabone!F25</f>
        <v>863.90289811604816</v>
      </c>
      <c r="D27" s="246">
        <f>'Sojabone Vermin bewerk'!F25</f>
        <v>834.25910174964213</v>
      </c>
      <c r="E27" s="246">
        <f>Graansorghum!D25</f>
        <v>759.81059123666682</v>
      </c>
      <c r="F27" s="246">
        <f>'Bes-mielies'!D25</f>
        <v>2616.9630585578734</v>
      </c>
    </row>
    <row r="28" spans="1:13" x14ac:dyDescent="0.3">
      <c r="A28" s="234" t="s">
        <v>112</v>
      </c>
      <c r="B28" s="244">
        <f>SUM(B11:B27)</f>
        <v>25065.097594456962</v>
      </c>
      <c r="C28" s="244">
        <f>SUM(C11:C27)</f>
        <v>14968.440010214794</v>
      </c>
      <c r="D28" s="244">
        <f>SUM(D11:D27)</f>
        <v>14454.815865009106</v>
      </c>
      <c r="E28" s="244">
        <f>SUM(E11:E27)</f>
        <v>13164.881468570002</v>
      </c>
      <c r="F28" s="244">
        <f>SUM(F11:F27)</f>
        <v>45342.890545217029</v>
      </c>
      <c r="G28" s="257"/>
      <c r="H28" s="257"/>
      <c r="I28" s="257"/>
      <c r="J28" s="257"/>
      <c r="K28" s="257"/>
      <c r="L28" s="258"/>
    </row>
    <row r="29" spans="1:13" ht="15" thickBot="1" x14ac:dyDescent="0.35">
      <c r="A29" s="230"/>
      <c r="B29" s="245"/>
      <c r="C29" s="245"/>
      <c r="D29" s="245"/>
      <c r="E29" s="245"/>
      <c r="F29" s="245"/>
    </row>
    <row r="30" spans="1:13" ht="15" thickTop="1" x14ac:dyDescent="0.3">
      <c r="A30" s="234" t="s">
        <v>113</v>
      </c>
      <c r="B30" s="244">
        <f>'Yellow-Roundup R mielies '!D28</f>
        <v>8315.9</v>
      </c>
      <c r="C30" s="244">
        <f>Sojabone!F28</f>
        <v>7127.57</v>
      </c>
      <c r="D30" s="244">
        <f>'Sojabone Vermin bewerk'!F28</f>
        <v>4159.01</v>
      </c>
      <c r="E30" s="244">
        <f>Graansorghum!E28</f>
        <v>7495.0700000000006</v>
      </c>
      <c r="F30" s="244">
        <f>'Bes-mielies'!G28</f>
        <v>9055.08</v>
      </c>
      <c r="H30" s="259"/>
      <c r="I30" s="259"/>
      <c r="J30" s="259"/>
      <c r="K30" s="259"/>
      <c r="L30" s="259"/>
      <c r="M30" s="259"/>
    </row>
    <row r="31" spans="1:13" x14ac:dyDescent="0.3">
      <c r="A31" s="230"/>
      <c r="B31" s="246"/>
      <c r="C31" s="246"/>
      <c r="D31" s="246"/>
      <c r="E31" s="246"/>
      <c r="F31" s="246"/>
    </row>
    <row r="32" spans="1:13" ht="15" thickBot="1" x14ac:dyDescent="0.35">
      <c r="A32" s="234" t="s">
        <v>114</v>
      </c>
      <c r="B32" s="247">
        <f t="shared" ref="B32:E32" si="2">B28+B30</f>
        <v>33380.99759445696</v>
      </c>
      <c r="C32" s="247">
        <f>C28+C30</f>
        <v>22096.010010214792</v>
      </c>
      <c r="D32" s="247">
        <f t="shared" si="2"/>
        <v>18613.825865009108</v>
      </c>
      <c r="E32" s="247">
        <f t="shared" si="2"/>
        <v>20659.951468570001</v>
      </c>
      <c r="F32" s="247">
        <f>F28+F30</f>
        <v>54397.970545217031</v>
      </c>
    </row>
    <row r="33" spans="1:8" ht="15.6" thickTop="1" thickBot="1" x14ac:dyDescent="0.35">
      <c r="A33" s="235"/>
      <c r="B33" s="245"/>
      <c r="C33" s="245"/>
      <c r="D33" s="248"/>
      <c r="E33" s="245"/>
      <c r="F33" s="245"/>
    </row>
    <row r="34" spans="1:8" ht="15" thickTop="1" x14ac:dyDescent="0.3">
      <c r="A34" s="236" t="s">
        <v>115</v>
      </c>
      <c r="B34" s="237">
        <f>B8-B28</f>
        <v>3215.5274055430382</v>
      </c>
      <c r="C34" s="237">
        <f>C8-C28</f>
        <v>3062.9608897852067</v>
      </c>
      <c r="D34" s="237">
        <f>D8-D28</f>
        <v>3576.5850349908942</v>
      </c>
      <c r="E34" s="237">
        <f>E8-E28</f>
        <v>3533.0935314300004</v>
      </c>
      <c r="F34" s="237">
        <f>F8-F28</f>
        <v>-7635.3905452170293</v>
      </c>
    </row>
    <row r="35" spans="1:8" x14ac:dyDescent="0.3">
      <c r="A35" s="230" t="s">
        <v>116</v>
      </c>
      <c r="B35" s="238">
        <f>B8-B32</f>
        <v>-5100.3725944569596</v>
      </c>
      <c r="C35" s="238">
        <f>C8-C32</f>
        <v>-4064.6091102147911</v>
      </c>
      <c r="D35" s="239">
        <f>D8-D32</f>
        <v>-582.42496500910784</v>
      </c>
      <c r="E35" s="238">
        <f>E8-E32</f>
        <v>-3961.9764685699993</v>
      </c>
      <c r="F35" s="238">
        <f>F8-F32</f>
        <v>-16690.470545217031</v>
      </c>
    </row>
    <row r="36" spans="1:8" ht="15" thickBot="1" x14ac:dyDescent="0.35">
      <c r="A36" s="266"/>
      <c r="B36" s="267"/>
      <c r="C36" s="267"/>
      <c r="D36" s="267"/>
      <c r="E36" s="267"/>
      <c r="F36" s="267"/>
      <c r="G36" s="268"/>
      <c r="H36" s="249"/>
    </row>
    <row r="37" spans="1:8" ht="49.2" customHeight="1" thickBot="1" x14ac:dyDescent="0.35">
      <c r="A37" s="307" t="s">
        <v>159</v>
      </c>
      <c r="B37" s="308"/>
      <c r="C37" s="308"/>
      <c r="D37" s="308"/>
      <c r="E37" s="309"/>
      <c r="F37" s="309"/>
      <c r="G37" s="310"/>
      <c r="H37" s="249"/>
    </row>
    <row r="38" spans="1:8" ht="9.75" customHeight="1" x14ac:dyDescent="0.3">
      <c r="A38" s="260"/>
      <c r="B38" s="260"/>
      <c r="C38" s="260"/>
      <c r="D38" s="260"/>
      <c r="E38" s="261"/>
      <c r="F38" s="261"/>
      <c r="G38" s="264"/>
      <c r="H38" s="249"/>
    </row>
    <row r="39" spans="1:8" x14ac:dyDescent="0.3">
      <c r="A39" s="262"/>
      <c r="B39" s="262"/>
      <c r="C39" s="262"/>
      <c r="D39" s="262"/>
      <c r="E39" s="262"/>
      <c r="F39" s="262"/>
      <c r="H39" s="249"/>
    </row>
    <row r="40" spans="1:8" x14ac:dyDescent="0.3">
      <c r="A40" s="262"/>
      <c r="B40" s="262"/>
      <c r="C40" s="262"/>
      <c r="D40" s="262"/>
      <c r="E40" s="262"/>
      <c r="F40" s="262"/>
      <c r="H40" s="249"/>
    </row>
    <row r="41" spans="1:8" x14ac:dyDescent="0.3">
      <c r="A41" s="262"/>
      <c r="B41" s="262"/>
      <c r="C41" s="262"/>
      <c r="D41" s="262"/>
      <c r="E41" s="262"/>
      <c r="F41" s="262"/>
      <c r="H41" s="249"/>
    </row>
    <row r="42" spans="1:8" x14ac:dyDescent="0.3">
      <c r="A42" s="262"/>
      <c r="B42" s="262"/>
      <c r="C42" s="262"/>
      <c r="D42" s="262"/>
      <c r="E42" s="262"/>
      <c r="F42" s="262"/>
      <c r="H42" s="249"/>
    </row>
    <row r="43" spans="1:8" x14ac:dyDescent="0.3">
      <c r="A43" s="262"/>
      <c r="B43" s="262"/>
      <c r="C43" s="262"/>
      <c r="D43" s="262"/>
      <c r="E43" s="262"/>
      <c r="F43" s="262"/>
      <c r="H43" s="249"/>
    </row>
    <row r="44" spans="1:8" x14ac:dyDescent="0.3">
      <c r="A44" s="262"/>
      <c r="B44" s="262"/>
      <c r="C44" s="262"/>
      <c r="D44" s="262"/>
      <c r="E44" s="262"/>
      <c r="F44" s="262"/>
      <c r="H44" s="249"/>
    </row>
    <row r="45" spans="1:8" x14ac:dyDescent="0.3">
      <c r="A45" s="262"/>
      <c r="B45" s="262"/>
      <c r="C45" s="262"/>
      <c r="D45" s="262"/>
      <c r="E45" s="262"/>
      <c r="F45" s="262"/>
      <c r="H45" s="249"/>
    </row>
    <row r="46" spans="1:8" x14ac:dyDescent="0.3">
      <c r="A46" s="262"/>
      <c r="B46" s="262"/>
      <c r="C46" s="262"/>
      <c r="D46" s="262"/>
      <c r="E46" s="262"/>
      <c r="F46" s="262"/>
      <c r="H46" s="249"/>
    </row>
    <row r="47" spans="1:8" x14ac:dyDescent="0.3">
      <c r="A47" s="262"/>
      <c r="B47" s="262"/>
      <c r="C47" s="262"/>
      <c r="D47" s="262"/>
      <c r="E47" s="262"/>
      <c r="F47" s="262"/>
      <c r="H47" s="249"/>
    </row>
    <row r="48" spans="1:8" x14ac:dyDescent="0.3">
      <c r="A48" s="262"/>
      <c r="B48" s="262"/>
      <c r="C48" s="262"/>
      <c r="D48" s="262"/>
      <c r="E48" s="262"/>
      <c r="F48" s="262"/>
      <c r="H48" s="249"/>
    </row>
    <row r="49" spans="1:8" x14ac:dyDescent="0.3">
      <c r="A49" s="262"/>
      <c r="B49" s="262"/>
      <c r="C49" s="262"/>
      <c r="D49" s="262"/>
      <c r="E49" s="262"/>
      <c r="F49" s="262"/>
      <c r="H49" s="249"/>
    </row>
    <row r="50" spans="1:8" x14ac:dyDescent="0.3">
      <c r="A50" s="262"/>
      <c r="B50" s="262"/>
      <c r="C50" s="262"/>
      <c r="D50" s="262"/>
      <c r="E50" s="262"/>
      <c r="F50" s="262"/>
      <c r="H50" s="249"/>
    </row>
    <row r="51" spans="1:8" x14ac:dyDescent="0.3">
      <c r="A51" s="262"/>
      <c r="B51" s="262"/>
      <c r="C51" s="262"/>
      <c r="D51" s="262"/>
      <c r="E51" s="262"/>
      <c r="F51" s="262"/>
      <c r="H51" s="249"/>
    </row>
    <row r="52" spans="1:8" x14ac:dyDescent="0.3">
      <c r="A52" s="262"/>
      <c r="B52" s="262"/>
      <c r="C52" s="262"/>
      <c r="D52" s="262"/>
      <c r="E52" s="262"/>
      <c r="F52" s="262"/>
      <c r="H52" s="249"/>
    </row>
    <row r="53" spans="1:8" x14ac:dyDescent="0.3">
      <c r="A53" s="262"/>
      <c r="B53" s="262"/>
      <c r="C53" s="262"/>
      <c r="D53" s="262"/>
      <c r="E53" s="262"/>
      <c r="F53" s="262"/>
      <c r="H53" s="249"/>
    </row>
    <row r="54" spans="1:8" x14ac:dyDescent="0.3">
      <c r="A54" s="262"/>
      <c r="B54" s="262"/>
      <c r="C54" s="262"/>
      <c r="D54" s="262"/>
      <c r="E54" s="262"/>
      <c r="F54" s="262"/>
      <c r="H54" s="249"/>
    </row>
    <row r="55" spans="1:8" x14ac:dyDescent="0.3">
      <c r="A55" s="262"/>
      <c r="B55" s="262"/>
      <c r="C55" s="262"/>
      <c r="D55" s="262"/>
      <c r="E55" s="262"/>
      <c r="F55" s="262"/>
      <c r="H55" s="249"/>
    </row>
    <row r="56" spans="1:8" x14ac:dyDescent="0.3">
      <c r="A56" s="262"/>
      <c r="B56" s="262"/>
      <c r="C56" s="262"/>
      <c r="D56" s="262"/>
      <c r="E56" s="262"/>
      <c r="F56" s="262"/>
      <c r="H56" s="249"/>
    </row>
    <row r="57" spans="1:8" x14ac:dyDescent="0.3">
      <c r="A57" s="262"/>
      <c r="B57" s="262"/>
      <c r="C57" s="262"/>
      <c r="D57" s="262"/>
      <c r="E57" s="262"/>
      <c r="F57" s="262"/>
      <c r="H57" s="249"/>
    </row>
    <row r="58" spans="1:8" ht="15" thickBot="1" x14ac:dyDescent="0.35">
      <c r="A58" s="240" t="s">
        <v>117</v>
      </c>
      <c r="B58" s="263"/>
      <c r="C58" s="263"/>
      <c r="D58" s="263"/>
      <c r="E58" s="263"/>
      <c r="F58" s="263"/>
      <c r="G58" s="265"/>
      <c r="H58" s="249"/>
    </row>
    <row r="59" spans="1:8" ht="15" thickBot="1" x14ac:dyDescent="0.35">
      <c r="A59" s="269"/>
      <c r="B59" s="270" t="str">
        <f>B2</f>
        <v>Maize (RR)</v>
      </c>
      <c r="C59" s="270"/>
      <c r="D59" s="270" t="str">
        <f>C2</f>
        <v>Soybean</v>
      </c>
      <c r="E59" s="270" t="str">
        <f>D2</f>
        <v>Soy bean (min tillage)</v>
      </c>
      <c r="F59" s="270" t="str">
        <f>E2</f>
        <v>Grain Sorghum</v>
      </c>
      <c r="G59" s="271" t="str">
        <f>F2</f>
        <v>Irr-Maize</v>
      </c>
      <c r="H59" s="249"/>
    </row>
    <row r="60" spans="1:8" x14ac:dyDescent="0.3">
      <c r="A60" s="272" t="s">
        <v>107</v>
      </c>
      <c r="B60" s="282">
        <f>B5</f>
        <v>4177</v>
      </c>
      <c r="C60" s="282"/>
      <c r="D60" s="282">
        <f>C5</f>
        <v>8345</v>
      </c>
      <c r="E60" s="282">
        <f>D5</f>
        <v>8345</v>
      </c>
      <c r="F60" s="282">
        <f>E5</f>
        <v>3500</v>
      </c>
      <c r="G60" s="283">
        <f>F5</f>
        <v>4177</v>
      </c>
      <c r="H60" s="249"/>
    </row>
    <row r="61" spans="1:8" x14ac:dyDescent="0.3">
      <c r="A61" s="273" t="s">
        <v>118</v>
      </c>
      <c r="B61" s="284">
        <f>B4</f>
        <v>7.5</v>
      </c>
      <c r="C61" s="284"/>
      <c r="D61" s="284">
        <f>C4</f>
        <v>2.23</v>
      </c>
      <c r="E61" s="284">
        <f>D4</f>
        <v>2.23</v>
      </c>
      <c r="F61" s="284">
        <f>E4</f>
        <v>4.9000000000000004</v>
      </c>
      <c r="G61" s="285">
        <f>F4</f>
        <v>10</v>
      </c>
      <c r="H61" s="249"/>
    </row>
    <row r="62" spans="1:8" x14ac:dyDescent="0.3">
      <c r="A62" s="273"/>
      <c r="B62" s="284"/>
      <c r="C62" s="284"/>
      <c r="D62" s="284"/>
      <c r="E62" s="284"/>
      <c r="F62" s="284"/>
      <c r="G62" s="285"/>
      <c r="H62" s="249"/>
    </row>
    <row r="63" spans="1:8" x14ac:dyDescent="0.3">
      <c r="A63" s="274" t="s">
        <v>105</v>
      </c>
      <c r="B63" s="275"/>
      <c r="C63" s="275"/>
      <c r="D63" s="275"/>
      <c r="E63" s="275"/>
      <c r="F63" s="275"/>
      <c r="G63" s="281"/>
      <c r="H63" s="249"/>
    </row>
    <row r="64" spans="1:8" x14ac:dyDescent="0.3">
      <c r="A64" s="273" t="s">
        <v>119</v>
      </c>
      <c r="B64" s="282">
        <f>B7</f>
        <v>3770.75</v>
      </c>
      <c r="C64" s="282"/>
      <c r="D64" s="282">
        <f>C7</f>
        <v>8085.83</v>
      </c>
      <c r="E64" s="282">
        <f>D7</f>
        <v>8085.83</v>
      </c>
      <c r="F64" s="282">
        <f>E7</f>
        <v>3407.75</v>
      </c>
      <c r="G64" s="283">
        <f>F7</f>
        <v>3770.75</v>
      </c>
      <c r="H64" s="249"/>
    </row>
    <row r="65" spans="1:8" x14ac:dyDescent="0.3">
      <c r="A65" s="273" t="s">
        <v>120</v>
      </c>
      <c r="B65" s="282">
        <f t="shared" ref="B65:G65" si="3">B64/B61</f>
        <v>502.76666666666665</v>
      </c>
      <c r="C65" s="282"/>
      <c r="D65" s="282">
        <f t="shared" si="3"/>
        <v>3625.932735426009</v>
      </c>
      <c r="E65" s="282">
        <f t="shared" si="3"/>
        <v>3625.932735426009</v>
      </c>
      <c r="F65" s="282">
        <f t="shared" si="3"/>
        <v>695.45918367346928</v>
      </c>
      <c r="G65" s="283">
        <f t="shared" si="3"/>
        <v>377.07499999999999</v>
      </c>
      <c r="H65" s="249"/>
    </row>
    <row r="66" spans="1:8" x14ac:dyDescent="0.3">
      <c r="A66" s="273"/>
      <c r="B66" s="282"/>
      <c r="C66" s="282"/>
      <c r="D66" s="282"/>
      <c r="E66" s="282"/>
      <c r="F66" s="282"/>
      <c r="G66" s="283"/>
      <c r="H66" s="249"/>
    </row>
    <row r="67" spans="1:8" x14ac:dyDescent="0.3">
      <c r="A67" s="276" t="s">
        <v>121</v>
      </c>
      <c r="B67" s="275"/>
      <c r="C67" s="275"/>
      <c r="D67" s="275"/>
      <c r="E67" s="275"/>
      <c r="F67" s="275"/>
      <c r="G67" s="281"/>
      <c r="H67" s="249"/>
    </row>
    <row r="68" spans="1:8" x14ac:dyDescent="0.3">
      <c r="A68" s="277" t="s">
        <v>122</v>
      </c>
      <c r="B68" s="282">
        <f t="shared" ref="B68" si="4">B28</f>
        <v>25065.097594456962</v>
      </c>
      <c r="C68" s="282"/>
      <c r="D68" s="282">
        <f>C28</f>
        <v>14968.440010214794</v>
      </c>
      <c r="E68" s="282">
        <f>D28</f>
        <v>14454.815865009106</v>
      </c>
      <c r="F68" s="282">
        <f>E28</f>
        <v>13164.881468570002</v>
      </c>
      <c r="G68" s="283">
        <f>F28</f>
        <v>45342.890545217029</v>
      </c>
      <c r="H68" s="249"/>
    </row>
    <row r="69" spans="1:8" x14ac:dyDescent="0.3">
      <c r="A69" s="277" t="s">
        <v>123</v>
      </c>
      <c r="B69" s="282">
        <f t="shared" ref="B69:G69" si="5">B68/B61</f>
        <v>3342.0130125942615</v>
      </c>
      <c r="C69" s="282"/>
      <c r="D69" s="282">
        <f t="shared" si="5"/>
        <v>6712.3049373160511</v>
      </c>
      <c r="E69" s="282">
        <f t="shared" si="5"/>
        <v>6481.9802085242627</v>
      </c>
      <c r="F69" s="282">
        <f t="shared" si="5"/>
        <v>2686.7105037897959</v>
      </c>
      <c r="G69" s="283">
        <f t="shared" si="5"/>
        <v>4534.2890545217033</v>
      </c>
      <c r="H69" s="249"/>
    </row>
    <row r="70" spans="1:8" x14ac:dyDescent="0.3">
      <c r="A70" s="273"/>
      <c r="B70" s="282"/>
      <c r="C70" s="282"/>
      <c r="D70" s="282"/>
      <c r="E70" s="282"/>
      <c r="F70" s="282"/>
      <c r="G70" s="283"/>
      <c r="H70" s="249"/>
    </row>
    <row r="71" spans="1:8" x14ac:dyDescent="0.3">
      <c r="A71" s="273" t="s">
        <v>124</v>
      </c>
      <c r="B71" s="282">
        <f t="shared" ref="B71" si="6">B32</f>
        <v>33380.99759445696</v>
      </c>
      <c r="C71" s="282"/>
      <c r="D71" s="282">
        <f>C32</f>
        <v>22096.010010214792</v>
      </c>
      <c r="E71" s="282">
        <f>D32</f>
        <v>18613.825865009108</v>
      </c>
      <c r="F71" s="282">
        <f>E32</f>
        <v>20659.951468570001</v>
      </c>
      <c r="G71" s="283">
        <f>F32</f>
        <v>54397.970545217031</v>
      </c>
      <c r="H71" s="249"/>
    </row>
    <row r="72" spans="1:8" x14ac:dyDescent="0.3">
      <c r="A72" s="273" t="s">
        <v>125</v>
      </c>
      <c r="B72" s="282">
        <f t="shared" ref="B72:G72" si="7">B71/B61</f>
        <v>4450.7996792609283</v>
      </c>
      <c r="C72" s="282"/>
      <c r="D72" s="282">
        <f t="shared" si="7"/>
        <v>9908.5246682577545</v>
      </c>
      <c r="E72" s="282">
        <f t="shared" si="7"/>
        <v>8347.0071143538607</v>
      </c>
      <c r="F72" s="282">
        <f t="shared" si="7"/>
        <v>4216.3166262387758</v>
      </c>
      <c r="G72" s="283">
        <f t="shared" si="7"/>
        <v>5439.7970545217031</v>
      </c>
      <c r="H72" s="249"/>
    </row>
    <row r="73" spans="1:8" x14ac:dyDescent="0.3">
      <c r="A73" s="273"/>
      <c r="B73" s="282"/>
      <c r="C73" s="282"/>
      <c r="D73" s="282"/>
      <c r="E73" s="282"/>
      <c r="F73" s="282"/>
      <c r="G73" s="283"/>
      <c r="H73" s="249"/>
    </row>
    <row r="74" spans="1:8" x14ac:dyDescent="0.3">
      <c r="A74" s="278" t="s">
        <v>126</v>
      </c>
      <c r="B74" s="286"/>
      <c r="C74" s="286"/>
      <c r="D74" s="286"/>
      <c r="E74" s="286"/>
      <c r="F74" s="286"/>
      <c r="G74" s="287"/>
      <c r="H74" s="249"/>
    </row>
    <row r="75" spans="1:8" x14ac:dyDescent="0.3">
      <c r="A75" s="277" t="s">
        <v>127</v>
      </c>
      <c r="B75" s="282">
        <f t="shared" ref="B75" si="8">B34</f>
        <v>3215.5274055430382</v>
      </c>
      <c r="C75" s="282"/>
      <c r="D75" s="282">
        <f>C34</f>
        <v>3062.9608897852067</v>
      </c>
      <c r="E75" s="282">
        <f>D34</f>
        <v>3576.5850349908942</v>
      </c>
      <c r="F75" s="282">
        <f>E34</f>
        <v>3533.0935314300004</v>
      </c>
      <c r="G75" s="283">
        <f>F34</f>
        <v>-7635.3905452170293</v>
      </c>
      <c r="H75" s="249"/>
    </row>
    <row r="76" spans="1:8" x14ac:dyDescent="0.3">
      <c r="A76" s="277" t="s">
        <v>128</v>
      </c>
      <c r="B76" s="282">
        <f t="shared" ref="B76:G76" si="9">B75/B61</f>
        <v>428.73698740573843</v>
      </c>
      <c r="C76" s="282"/>
      <c r="D76" s="282">
        <f t="shared" si="9"/>
        <v>1373.5250626839493</v>
      </c>
      <c r="E76" s="282">
        <f t="shared" si="9"/>
        <v>1603.8497914757372</v>
      </c>
      <c r="F76" s="282">
        <f t="shared" si="9"/>
        <v>721.03949621020411</v>
      </c>
      <c r="G76" s="283">
        <f t="shared" si="9"/>
        <v>-763.53905452170295</v>
      </c>
      <c r="H76" s="249"/>
    </row>
    <row r="77" spans="1:8" x14ac:dyDescent="0.3">
      <c r="A77" s="273"/>
      <c r="B77" s="282"/>
      <c r="C77" s="282"/>
      <c r="D77" s="282"/>
      <c r="E77" s="282"/>
      <c r="F77" s="282"/>
      <c r="G77" s="283"/>
      <c r="H77" s="249"/>
    </row>
    <row r="78" spans="1:8" x14ac:dyDescent="0.3">
      <c r="A78" s="273" t="s">
        <v>129</v>
      </c>
      <c r="B78" s="282">
        <f t="shared" ref="B78" si="10">B35</f>
        <v>-5100.3725944569596</v>
      </c>
      <c r="C78" s="282"/>
      <c r="D78" s="282">
        <f>C35</f>
        <v>-4064.6091102147911</v>
      </c>
      <c r="E78" s="282">
        <f>D35</f>
        <v>-582.42496500910784</v>
      </c>
      <c r="F78" s="282">
        <f>E35</f>
        <v>-3961.9764685699993</v>
      </c>
      <c r="G78" s="283">
        <f>F35</f>
        <v>-16690.470545217031</v>
      </c>
      <c r="H78" s="249"/>
    </row>
    <row r="79" spans="1:8" x14ac:dyDescent="0.3">
      <c r="A79" s="273" t="s">
        <v>130</v>
      </c>
      <c r="B79" s="282">
        <f>B78/B4</f>
        <v>-680.04967926092797</v>
      </c>
      <c r="C79" s="282"/>
      <c r="D79" s="282">
        <f>D78/C4</f>
        <v>-1822.6946682577538</v>
      </c>
      <c r="E79" s="282">
        <f>E78/D4</f>
        <v>-261.17711435386002</v>
      </c>
      <c r="F79" s="282">
        <f>F78/E4</f>
        <v>-808.56662623877526</v>
      </c>
      <c r="G79" s="283">
        <f>G78/F4</f>
        <v>-1669.0470545217031</v>
      </c>
      <c r="H79" s="249"/>
    </row>
    <row r="80" spans="1:8" x14ac:dyDescent="0.3">
      <c r="A80" s="273"/>
      <c r="B80" s="282"/>
      <c r="C80" s="282"/>
      <c r="D80" s="282"/>
      <c r="E80" s="282"/>
      <c r="F80" s="282"/>
      <c r="G80" s="283"/>
      <c r="H80" s="249"/>
    </row>
    <row r="81" spans="1:8" x14ac:dyDescent="0.3">
      <c r="A81" s="279" t="s">
        <v>131</v>
      </c>
      <c r="B81" s="286"/>
      <c r="C81" s="286"/>
      <c r="D81" s="286"/>
      <c r="E81" s="286"/>
      <c r="F81" s="286"/>
      <c r="G81" s="287"/>
      <c r="H81" s="249"/>
    </row>
    <row r="82" spans="1:8" ht="15" thickBot="1" x14ac:dyDescent="0.35">
      <c r="A82" s="277" t="s">
        <v>132</v>
      </c>
      <c r="B82" s="241">
        <f>B68/B64</f>
        <v>6.6472446050406315</v>
      </c>
      <c r="C82" s="241"/>
      <c r="D82" s="241">
        <f>D68/D64</f>
        <v>1.8511940036106118</v>
      </c>
      <c r="E82" s="241">
        <f t="shared" ref="E82:G82" si="11">E68/E64</f>
        <v>1.7876724918788927</v>
      </c>
      <c r="F82" s="241">
        <f t="shared" si="11"/>
        <v>3.8632180965651828</v>
      </c>
      <c r="G82" s="288">
        <f t="shared" si="11"/>
        <v>12.024899700382425</v>
      </c>
      <c r="H82" s="249"/>
    </row>
    <row r="83" spans="1:8" ht="15.6" thickTop="1" thickBot="1" x14ac:dyDescent="0.35">
      <c r="A83" s="277" t="s">
        <v>133</v>
      </c>
      <c r="B83" s="294">
        <f>B69+B6</f>
        <v>3748.2630125942615</v>
      </c>
      <c r="C83" s="294"/>
      <c r="D83" s="294">
        <f>D69+C6</f>
        <v>6971.4749373160512</v>
      </c>
      <c r="E83" s="294">
        <f>E69+D6</f>
        <v>6741.1502085242628</v>
      </c>
      <c r="F83" s="294">
        <f>F69+E6</f>
        <v>2778.9605037897959</v>
      </c>
      <c r="G83" s="295">
        <f>G69+F6</f>
        <v>4940.5390545217033</v>
      </c>
      <c r="H83" s="249"/>
    </row>
    <row r="84" spans="1:8" ht="15" thickTop="1" x14ac:dyDescent="0.3">
      <c r="A84" s="279" t="s">
        <v>134</v>
      </c>
      <c r="B84" s="286"/>
      <c r="C84" s="286"/>
      <c r="D84" s="286"/>
      <c r="E84" s="286"/>
      <c r="F84" s="286"/>
      <c r="G84" s="287"/>
      <c r="H84" s="249"/>
    </row>
    <row r="85" spans="1:8" ht="15" thickBot="1" x14ac:dyDescent="0.35">
      <c r="A85" s="273" t="s">
        <v>132</v>
      </c>
      <c r="B85" s="241">
        <f>B71/B64</f>
        <v>8.8526148894668069</v>
      </c>
      <c r="C85" s="241"/>
      <c r="D85" s="241">
        <f t="shared" ref="D85:G85" si="12">D71/D64</f>
        <v>2.7326829787683877</v>
      </c>
      <c r="E85" s="241">
        <f t="shared" si="12"/>
        <v>2.3020303252738565</v>
      </c>
      <c r="F85" s="241">
        <f t="shared" si="12"/>
        <v>6.062637068027291</v>
      </c>
      <c r="G85" s="288">
        <f t="shared" si="12"/>
        <v>14.426299952321695</v>
      </c>
      <c r="H85" s="249"/>
    </row>
    <row r="86" spans="1:8" ht="15.6" thickTop="1" thickBot="1" x14ac:dyDescent="0.35">
      <c r="A86" s="280" t="s">
        <v>133</v>
      </c>
      <c r="B86" s="292">
        <f>B72+B6</f>
        <v>4857.0496792609283</v>
      </c>
      <c r="C86" s="292"/>
      <c r="D86" s="292">
        <f>D72+C6</f>
        <v>10167.694668257755</v>
      </c>
      <c r="E86" s="292">
        <f>E72+D6</f>
        <v>8606.1771143538608</v>
      </c>
      <c r="F86" s="292">
        <f>F72+E6</f>
        <v>4308.5666262387758</v>
      </c>
      <c r="G86" s="293">
        <f>G72+F6</f>
        <v>5846.0470545217031</v>
      </c>
      <c r="H86" s="249"/>
    </row>
  </sheetData>
  <mergeCells count="1">
    <mergeCell ref="A37:G37"/>
  </mergeCells>
  <phoneticPr fontId="12" type="noConversion"/>
  <conditionalFormatting sqref="B34:D36 F34:F35">
    <cfRule type="colorScale" priority="4">
      <colorScale>
        <cfvo type="min"/>
        <cfvo type="percentile" val="50"/>
        <cfvo type="max"/>
        <color rgb="FFF8696B"/>
        <color rgb="FFFFEB84"/>
        <color rgb="FF63BE7B"/>
      </colorScale>
    </cfRule>
  </conditionalFormatting>
  <conditionalFormatting sqref="D34:D35 E36:G36 F34:F35">
    <cfRule type="colorScale" priority="5">
      <colorScale>
        <cfvo type="min"/>
        <cfvo type="percentile" val="50"/>
        <cfvo type="max"/>
        <color rgb="FFF8696B"/>
        <color rgb="FFFFEB84"/>
        <color rgb="FF63BE7B"/>
      </colorScale>
    </cfRule>
  </conditionalFormatting>
  <conditionalFormatting sqref="E34:E35">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onditionalFormatting>
  <conditionalFormatting sqref="F34:F35 B36:G36 B34:D35">
    <cfRule type="colorScale" priority="57">
      <colorScale>
        <cfvo type="min"/>
        <cfvo type="percentile" val="50"/>
        <cfvo type="max"/>
        <color rgb="FFF8696B"/>
        <color rgb="FFFFEB84"/>
        <color rgb="FF63BE7B"/>
      </colorScale>
    </cfRule>
  </conditionalFormatting>
  <hyperlinks>
    <hyperlink ref="H8" r:id="rId1" xr:uid="{C069E9A2-C7A9-4199-88A8-CFDCDDE3E13E}"/>
  </hyperlinks>
  <pageMargins left="0.39370078740157483" right="0.31496062992125984" top="0.74803149606299213" bottom="0.74803149606299213" header="0.31496062992125984" footer="0.31496062992125984"/>
  <pageSetup paperSize="9" scale="60" orientation="portrait" r:id="rId2"/>
  <drawing r:id="rId3"/>
  <tableParts count="1">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94E9D-02AA-499B-B65F-30CC3991417D}">
  <dimension ref="A1:F38"/>
  <sheetViews>
    <sheetView zoomScale="64" zoomScaleNormal="100" workbookViewId="0">
      <selection activeCell="AD14" sqref="AD14"/>
    </sheetView>
  </sheetViews>
  <sheetFormatPr defaultColWidth="8.88671875" defaultRowHeight="14.4" x14ac:dyDescent="0.3"/>
  <cols>
    <col min="1" max="1" width="23.5546875" style="126" customWidth="1"/>
    <col min="2" max="2" width="17.6640625" style="126" customWidth="1"/>
    <col min="3" max="5" width="8.88671875" style="126"/>
    <col min="6" max="6" width="7.109375" style="126" bestFit="1" customWidth="1"/>
    <col min="7" max="16384" width="8.88671875" style="126"/>
  </cols>
  <sheetData>
    <row r="1" spans="1:6" ht="18" x14ac:dyDescent="0.35">
      <c r="A1" s="396" t="s">
        <v>135</v>
      </c>
      <c r="B1" s="397"/>
      <c r="C1" s="398"/>
      <c r="D1" s="396" t="s">
        <v>136</v>
      </c>
      <c r="E1" s="397"/>
      <c r="F1" s="398"/>
    </row>
    <row r="2" spans="1:6" ht="18" x14ac:dyDescent="0.35">
      <c r="A2" s="128" t="s">
        <v>137</v>
      </c>
      <c r="B2" s="129">
        <v>0</v>
      </c>
      <c r="C2" s="130">
        <v>0</v>
      </c>
      <c r="D2" s="129" t="s">
        <v>138</v>
      </c>
      <c r="E2" s="129"/>
      <c r="F2" s="131">
        <f>((B4+B3+F7)/B7)*100</f>
        <v>45.864224472325631</v>
      </c>
    </row>
    <row r="3" spans="1:6" ht="18" x14ac:dyDescent="0.35">
      <c r="A3" s="128" t="s">
        <v>139</v>
      </c>
      <c r="B3" s="132">
        <f>'Crop Comparison'!B28</f>
        <v>25065.097594456962</v>
      </c>
      <c r="C3" s="131">
        <f>B3/$B$7*100</f>
        <v>40.649429158405212</v>
      </c>
      <c r="D3" s="129" t="s">
        <v>136</v>
      </c>
      <c r="E3" s="129"/>
      <c r="F3" s="130">
        <v>1</v>
      </c>
    </row>
    <row r="4" spans="1:6" ht="18" x14ac:dyDescent="0.35">
      <c r="A4" s="128" t="s">
        <v>140</v>
      </c>
      <c r="B4" s="133">
        <f>'Crop Comparison'!B30</f>
        <v>8315.9</v>
      </c>
      <c r="C4" s="131">
        <f>B4/$B$7*100</f>
        <v>13.486346369269162</v>
      </c>
      <c r="D4" s="129" t="s">
        <v>141</v>
      </c>
      <c r="E4" s="129"/>
      <c r="F4" s="131">
        <f>C7-F3-F2</f>
        <v>153.13577552767435</v>
      </c>
    </row>
    <row r="5" spans="1:6" ht="18" x14ac:dyDescent="0.35">
      <c r="A5" s="128" t="s">
        <v>142</v>
      </c>
      <c r="B5" s="133">
        <f>'Crop Comparison'!B8</f>
        <v>28280.625</v>
      </c>
      <c r="C5" s="131">
        <f>B5/$B$7*100</f>
        <v>45.864224472325631</v>
      </c>
      <c r="D5" s="128"/>
      <c r="E5" s="129"/>
      <c r="F5" s="130"/>
    </row>
    <row r="6" spans="1:6" ht="18" x14ac:dyDescent="0.35">
      <c r="A6" s="128" t="s">
        <v>143</v>
      </c>
      <c r="B6" s="129"/>
      <c r="C6" s="130">
        <v>100</v>
      </c>
      <c r="D6" s="128"/>
      <c r="E6" s="129"/>
      <c r="F6" s="130"/>
    </row>
    <row r="7" spans="1:6" ht="18.600000000000001" thickBot="1" x14ac:dyDescent="0.4">
      <c r="A7" s="134" t="s">
        <v>144</v>
      </c>
      <c r="B7" s="135">
        <f>SUM(B3:B5)</f>
        <v>61661.62259445696</v>
      </c>
      <c r="C7" s="136">
        <f>SUM(C2:C6)</f>
        <v>200</v>
      </c>
      <c r="D7" s="134" t="s">
        <v>145</v>
      </c>
      <c r="E7" s="137"/>
      <c r="F7" s="138">
        <f>B5-(B3+B4)</f>
        <v>-5100.3725944569596</v>
      </c>
    </row>
    <row r="8" spans="1:6" ht="18" x14ac:dyDescent="0.35">
      <c r="A8" s="129"/>
      <c r="B8" s="129"/>
      <c r="C8" s="129"/>
      <c r="D8" s="129"/>
      <c r="E8" s="129"/>
      <c r="F8" s="129"/>
    </row>
    <row r="9" spans="1:6" ht="18" x14ac:dyDescent="0.35">
      <c r="A9" s="129"/>
      <c r="B9" s="129"/>
      <c r="C9" s="129"/>
      <c r="D9" s="129"/>
      <c r="E9" s="129"/>
      <c r="F9" s="129"/>
    </row>
    <row r="10" spans="1:6" ht="18" x14ac:dyDescent="0.35">
      <c r="A10" s="129"/>
      <c r="B10" s="129"/>
      <c r="C10" s="129"/>
      <c r="D10" s="129"/>
      <c r="E10" s="129"/>
      <c r="F10" s="129"/>
    </row>
    <row r="11" spans="1:6" ht="18" x14ac:dyDescent="0.35">
      <c r="A11" s="129"/>
      <c r="B11" s="129"/>
      <c r="C11" s="129"/>
      <c r="D11" s="129"/>
      <c r="E11" s="129"/>
      <c r="F11" s="129"/>
    </row>
    <row r="12" spans="1:6" ht="18" x14ac:dyDescent="0.35">
      <c r="A12" s="129"/>
      <c r="B12" s="129"/>
      <c r="C12" s="129"/>
      <c r="D12" s="129"/>
      <c r="E12" s="129"/>
      <c r="F12" s="129"/>
    </row>
    <row r="13" spans="1:6" ht="18" x14ac:dyDescent="0.35">
      <c r="A13" s="129"/>
      <c r="B13" s="129"/>
      <c r="C13" s="129"/>
      <c r="D13" s="129"/>
      <c r="E13" s="129"/>
      <c r="F13" s="129"/>
    </row>
    <row r="14" spans="1:6" ht="18.600000000000001" thickBot="1" x14ac:dyDescent="0.4">
      <c r="A14" s="129"/>
      <c r="B14" s="129"/>
      <c r="C14" s="129"/>
      <c r="D14" s="129"/>
      <c r="E14" s="129"/>
      <c r="F14" s="129"/>
    </row>
    <row r="15" spans="1:6" ht="18" x14ac:dyDescent="0.35">
      <c r="A15" s="396" t="s">
        <v>146</v>
      </c>
      <c r="B15" s="397"/>
      <c r="C15" s="398"/>
      <c r="D15" s="289" t="s">
        <v>136</v>
      </c>
      <c r="E15" s="290"/>
      <c r="F15" s="291"/>
    </row>
    <row r="16" spans="1:6" ht="18" x14ac:dyDescent="0.35">
      <c r="A16" s="128" t="s">
        <v>137</v>
      </c>
      <c r="B16" s="129">
        <v>0</v>
      </c>
      <c r="C16" s="130">
        <v>0</v>
      </c>
      <c r="D16" s="129" t="s">
        <v>138</v>
      </c>
      <c r="E16" s="129"/>
      <c r="F16" s="131">
        <f>((B18+B17+F21)/B21)*100</f>
        <v>49.205319469375972</v>
      </c>
    </row>
    <row r="17" spans="1:6" ht="18" x14ac:dyDescent="0.35">
      <c r="A17" s="128" t="s">
        <v>139</v>
      </c>
      <c r="B17" s="133">
        <f>'Crop Comparison'!D28</f>
        <v>14454.815865009106</v>
      </c>
      <c r="C17" s="131">
        <f>B17/$B$21*100</f>
        <v>39.445289717271898</v>
      </c>
      <c r="D17" s="129" t="s">
        <v>136</v>
      </c>
      <c r="E17" s="129"/>
      <c r="F17" s="130">
        <v>1</v>
      </c>
    </row>
    <row r="18" spans="1:6" ht="18" x14ac:dyDescent="0.35">
      <c r="A18" s="128" t="s">
        <v>140</v>
      </c>
      <c r="B18" s="133">
        <f>'Crop Comparison'!D30</f>
        <v>4159.01</v>
      </c>
      <c r="C18" s="131">
        <f>B18/$B$21*100</f>
        <v>11.34939081335213</v>
      </c>
      <c r="D18" s="129" t="s">
        <v>141</v>
      </c>
      <c r="E18" s="129"/>
      <c r="F18" s="131">
        <f>C21-F17-F16</f>
        <v>149.79468053062402</v>
      </c>
    </row>
    <row r="19" spans="1:6" ht="18" x14ac:dyDescent="0.35">
      <c r="A19" s="128" t="s">
        <v>142</v>
      </c>
      <c r="B19" s="133">
        <f>'Crop Comparison'!D8</f>
        <v>18031.400900000001</v>
      </c>
      <c r="C19" s="131">
        <f>B19/$B$21*100</f>
        <v>49.205319469375972</v>
      </c>
      <c r="D19" s="128"/>
      <c r="E19" s="129"/>
      <c r="F19" s="130"/>
    </row>
    <row r="20" spans="1:6" ht="18" x14ac:dyDescent="0.35">
      <c r="A20" s="128" t="s">
        <v>143</v>
      </c>
      <c r="B20" s="129"/>
      <c r="C20" s="130">
        <v>100</v>
      </c>
      <c r="D20" s="128"/>
      <c r="E20" s="129"/>
      <c r="F20" s="130"/>
    </row>
    <row r="21" spans="1:6" ht="18.600000000000001" thickBot="1" x14ac:dyDescent="0.4">
      <c r="A21" s="134" t="s">
        <v>144</v>
      </c>
      <c r="B21" s="135">
        <f>SUM(B17:B19)</f>
        <v>36645.226765009109</v>
      </c>
      <c r="C21" s="136">
        <f>SUM(C16:C20)</f>
        <v>200</v>
      </c>
      <c r="D21" s="134" t="s">
        <v>145</v>
      </c>
      <c r="E21" s="137"/>
      <c r="F21" s="138">
        <f>B19-(B17+B18)</f>
        <v>-582.42496500910784</v>
      </c>
    </row>
    <row r="26" spans="1:6" ht="18" x14ac:dyDescent="0.35">
      <c r="A26" s="129"/>
      <c r="B26" s="129"/>
      <c r="C26" s="129"/>
      <c r="D26" s="129"/>
      <c r="E26" s="129"/>
      <c r="F26" s="129"/>
    </row>
    <row r="27" spans="1:6" ht="18" x14ac:dyDescent="0.35">
      <c r="A27" s="129"/>
      <c r="B27" s="129"/>
      <c r="C27" s="129"/>
      <c r="D27" s="129"/>
      <c r="E27" s="129"/>
      <c r="F27" s="129"/>
    </row>
    <row r="28" spans="1:6" ht="18" x14ac:dyDescent="0.35">
      <c r="A28" s="129"/>
      <c r="B28" s="129"/>
      <c r="C28" s="129"/>
      <c r="D28" s="129"/>
      <c r="E28" s="129"/>
      <c r="F28" s="129"/>
    </row>
    <row r="29" spans="1:6" ht="18.600000000000001" thickBot="1" x14ac:dyDescent="0.4">
      <c r="A29" s="129"/>
      <c r="B29" s="129"/>
      <c r="C29" s="129"/>
      <c r="D29" s="129"/>
      <c r="E29" s="129"/>
      <c r="F29" s="129"/>
    </row>
    <row r="30" spans="1:6" ht="18" x14ac:dyDescent="0.35">
      <c r="A30" s="396" t="s">
        <v>147</v>
      </c>
      <c r="B30" s="397"/>
      <c r="C30" s="398"/>
      <c r="D30" s="399" t="s">
        <v>136</v>
      </c>
      <c r="E30" s="400"/>
      <c r="F30" s="401"/>
    </row>
    <row r="31" spans="1:6" ht="18" x14ac:dyDescent="0.35">
      <c r="A31" s="128" t="s">
        <v>137</v>
      </c>
      <c r="B31" s="129">
        <v>0</v>
      </c>
      <c r="C31" s="130">
        <v>0</v>
      </c>
      <c r="D31" s="129" t="s">
        <v>138</v>
      </c>
      <c r="E31" s="129"/>
      <c r="F31" s="131">
        <f>((B33+B32+F36)/B36)*100</f>
        <v>44.697274657490304</v>
      </c>
    </row>
    <row r="32" spans="1:6" ht="18" x14ac:dyDescent="0.35">
      <c r="A32" s="128" t="s">
        <v>139</v>
      </c>
      <c r="B32" s="133">
        <f>'Crop Comparison'!E28</f>
        <v>13164.881468570002</v>
      </c>
      <c r="C32" s="131">
        <f>B32/$B$36*100</f>
        <v>35.23986129060426</v>
      </c>
      <c r="D32" s="129" t="s">
        <v>136</v>
      </c>
      <c r="E32" s="129"/>
      <c r="F32" s="130">
        <v>1</v>
      </c>
    </row>
    <row r="33" spans="1:6" ht="18" x14ac:dyDescent="0.35">
      <c r="A33" s="128" t="s">
        <v>140</v>
      </c>
      <c r="B33" s="133">
        <f>'Crop Comparison'!E30</f>
        <v>7495.0700000000006</v>
      </c>
      <c r="C33" s="131">
        <f>B33/$B$36*100</f>
        <v>20.062864051905446</v>
      </c>
      <c r="D33" s="129" t="s">
        <v>141</v>
      </c>
      <c r="E33" s="129"/>
      <c r="F33" s="131">
        <f>C36-F32-F31</f>
        <v>154.30272534250969</v>
      </c>
    </row>
    <row r="34" spans="1:6" ht="18" x14ac:dyDescent="0.35">
      <c r="A34" s="128" t="s">
        <v>142</v>
      </c>
      <c r="B34" s="133">
        <f>'Crop Comparison'!E8</f>
        <v>16697.975000000002</v>
      </c>
      <c r="C34" s="131">
        <f>B34/$B$36*100</f>
        <v>44.697274657490304</v>
      </c>
      <c r="D34" s="128"/>
      <c r="E34" s="129"/>
      <c r="F34" s="130"/>
    </row>
    <row r="35" spans="1:6" ht="18" x14ac:dyDescent="0.35">
      <c r="A35" s="128" t="s">
        <v>143</v>
      </c>
      <c r="B35" s="129"/>
      <c r="C35" s="130">
        <v>100</v>
      </c>
      <c r="D35" s="128"/>
      <c r="E35" s="129"/>
      <c r="F35" s="130"/>
    </row>
    <row r="36" spans="1:6" ht="18.600000000000001" thickBot="1" x14ac:dyDescent="0.4">
      <c r="A36" s="134" t="s">
        <v>144</v>
      </c>
      <c r="B36" s="135">
        <f>SUM(B32:B34)</f>
        <v>37357.926468570004</v>
      </c>
      <c r="C36" s="136">
        <f>SUM(C31:C35)</f>
        <v>200</v>
      </c>
      <c r="D36" s="134" t="s">
        <v>145</v>
      </c>
      <c r="E36" s="137"/>
      <c r="F36" s="138">
        <f>B34-(B32+B33)</f>
        <v>-3961.9764685699993</v>
      </c>
    </row>
    <row r="37" spans="1:6" ht="18" x14ac:dyDescent="0.35">
      <c r="A37" s="129"/>
      <c r="B37" s="129"/>
      <c r="C37" s="129"/>
      <c r="D37" s="129"/>
      <c r="E37" s="129"/>
      <c r="F37" s="129"/>
    </row>
    <row r="38" spans="1:6" ht="18" x14ac:dyDescent="0.35">
      <c r="A38" s="129"/>
      <c r="B38" s="129"/>
      <c r="C38" s="129"/>
      <c r="D38" s="129"/>
      <c r="E38" s="129"/>
      <c r="F38" s="129"/>
    </row>
  </sheetData>
  <mergeCells count="5">
    <mergeCell ref="A1:C1"/>
    <mergeCell ref="D1:F1"/>
    <mergeCell ref="A30:C30"/>
    <mergeCell ref="D30:F30"/>
    <mergeCell ref="A15:C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BA07289-FBB4-4D07-B7D6-BB8BC48DF6CF}">
  <ds:schemaRefs>
    <ds:schemaRef ds:uri="http://schemas.microsoft.com/sharepoint/v3/contenttype/forms"/>
  </ds:schemaRefs>
</ds:datastoreItem>
</file>

<file path=customXml/itemProps2.xml><?xml version="1.0" encoding="utf-8"?>
<ds:datastoreItem xmlns:ds="http://schemas.openxmlformats.org/officeDocument/2006/customXml" ds:itemID="{F167EF28-23BA-4A0B-BA39-CBD516DA4160}">
  <ds:schemaRefs>
    <ds:schemaRef ds:uri="95943543-aac6-4fde-8f8b-77a9ea0cd5ed"/>
    <ds:schemaRef ds:uri="http://schemas.microsoft.com/office/infopath/2007/PartnerControls"/>
    <ds:schemaRef ds:uri="13a0b348-8834-4d7c-b06d-697f5a4282a4"/>
    <ds:schemaRef ds:uri="http://schemas.openxmlformats.org/package/2006/metadata/core-properties"/>
    <ds:schemaRef ds:uri="http://schemas.microsoft.com/office/2006/metadata/properties"/>
    <ds:schemaRef ds:uri="http://purl.org/dc/elements/1.1/"/>
    <ds:schemaRef ds:uri="http://purl.org/dc/term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453C352F-29E0-401A-BB6A-A1DC11493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5FB3913-FF2B-44AF-9B0F-40C5AD71303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Pryse + Sensatiwiteitsanalise</vt:lpstr>
      <vt:lpstr>Yellow-Roundup R mielies </vt:lpstr>
      <vt:lpstr>W-BT Mielies vermin till</vt:lpstr>
      <vt:lpstr>Mielie Vermin Bewerk</vt:lpstr>
      <vt:lpstr>Bes-mielies</vt:lpstr>
      <vt:lpstr>Sojabone</vt:lpstr>
      <vt:lpstr>Sojabone verminderde bewerking</vt:lpstr>
      <vt:lpstr>Sojabone Vermin bewerk</vt:lpstr>
      <vt:lpstr>Graansorghum</vt:lpstr>
      <vt:lpstr>Crop Comparison</vt:lpstr>
      <vt:lpstr>Grafieke</vt:lpstr>
      <vt:lpstr>'Mielie Vermin Bewerk'!Opbrengspeil</vt:lpstr>
      <vt:lpstr>Opbrengspeil</vt:lpstr>
      <vt:lpstr>'Bes-mielies'!Print_Area</vt:lpstr>
      <vt:lpstr>'Crop Comparison'!Print_Area</vt:lpstr>
      <vt:lpstr>Graansorghum!Print_Area</vt:lpstr>
      <vt:lpstr>'Mielie Vermin Bewerk'!Print_Area</vt:lpstr>
      <vt:lpstr>Sojabone!Print_Area</vt:lpstr>
      <vt:lpstr>'Sojabone Vermin bewerk'!Print_Area</vt:lpstr>
      <vt:lpstr>'Sojabone verminderde bewerking'!Print_Area</vt:lpstr>
      <vt:lpstr>'W-BT Mielies vermin till'!Print_Area</vt:lpstr>
      <vt:lpstr>'Yellow-Roundup R mielies '!Print_Area</vt:lpstr>
      <vt:lpstr>'Sojabone Vermin bewerk'!Sojaopbrengspeil</vt:lpstr>
      <vt:lpstr>Sojaverminopbrengspeil</vt:lpstr>
      <vt:lpstr>Sorgopbrengspeil</vt:lpstr>
      <vt:lpstr>Verminopbrengspeil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2026-09-08T11:50:52Z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16553400.0000000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ContentTypeId">
    <vt:lpwstr>0x010100DF34FFA60B85ED4788681866754E016A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