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drawings/drawing10.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rainsa2019.sharepoint.com/sites/ProductionEconomics/Produksie Begrotings_Production Budgets/"/>
    </mc:Choice>
  </mc:AlternateContent>
  <xr:revisionPtr revIDLastSave="1428" documentId="13_ncr:1_{685C69DB-23C2-4043-95D7-17095184F214}" xr6:coauthVersionLast="47" xr6:coauthVersionMax="47" xr10:uidLastSave="{08E7A145-4AF2-4D03-B255-7894BA702C65}"/>
  <bookViews>
    <workbookView xWindow="-108" yWindow="-108" windowWidth="23256" windowHeight="12456" tabRatio="883" xr2:uid="{00000000-000D-0000-FFFF-FFFF00000000}"/>
  </bookViews>
  <sheets>
    <sheet name="Pryse + Sensatiwiteitsanali" sheetId="39" r:id="rId1"/>
    <sheet name="W-RR mielies Laer opbrengs " sheetId="2" r:id="rId2"/>
    <sheet name="W-RR mielies Hoer opbrengs  " sheetId="19" r:id="rId3"/>
    <sheet name="W-BT Mielies " sheetId="22" r:id="rId4"/>
    <sheet name="Sonneblom" sheetId="20" r:id="rId5"/>
    <sheet name="Graansorghum" sheetId="16" r:id="rId6"/>
    <sheet name="Grondbone" sheetId="34" r:id="rId7"/>
    <sheet name="Sojabone" sheetId="30" r:id="rId8"/>
    <sheet name="Crop Comparison" sheetId="40" r:id="rId9"/>
    <sheet name="Grafieke" sheetId="41" r:id="rId10"/>
  </sheets>
  <externalReferences>
    <externalReference r:id="rId11"/>
    <externalReference r:id="rId12"/>
    <externalReference r:id="rId13"/>
  </externalReferences>
  <definedNames>
    <definedName name="BTopbrengspeil" localSheetId="9">'[1]W-BT Mielies'!$K$9:$K$14</definedName>
    <definedName name="BTopbrengspeil">'W-BT Mielies '!$M$9:$M$14</definedName>
    <definedName name="Cultivar">[2]Seedprices!$A$3:$A$49</definedName>
    <definedName name="Price80DP">[2]Seedprices!$B$3:$B$49</definedName>
    <definedName name="_xlnm.Print_Area" localSheetId="5">Graansorghum!$A$1:$H$42</definedName>
    <definedName name="_xlnm.Print_Area" localSheetId="6">Grondbone!$A$1:$E$50</definedName>
    <definedName name="_xlnm.Print_Area" localSheetId="7">Sojabone!$A$1:$H$42</definedName>
    <definedName name="_xlnm.Print_Area" localSheetId="4">Sonneblom!$A$1:$I$42</definedName>
    <definedName name="_xlnm.Print_Area" localSheetId="3">'W-BT Mielies '!$A$1:$I$46</definedName>
    <definedName name="_xlnm.Print_Area" localSheetId="2">'W-RR mielies Hoer opbrengs  '!$A$1:$H$46</definedName>
    <definedName name="_xlnm.Print_Area" localSheetId="1">'W-RR mielies Laer opbrengs '!$A$1:$I$50</definedName>
    <definedName name="RRHpbrengspeil">'W-RR mielies Hoer opbrengs  '!$L$9:$L$14</definedName>
    <definedName name="RRLopbrengspeil">'W-RR mielies Laer opbrengs '!$M$9:$M$14</definedName>
    <definedName name="RRopbrengspeil">'W-RR mielies Laer opbrengs '!$M$9:$M$14</definedName>
    <definedName name="RRopbrens">'[3]W-BT Mielies'!$K$9:$K$14</definedName>
    <definedName name="Sojaopbrengspeil" localSheetId="9">[1]Sojabone!$K$9:$K$13</definedName>
    <definedName name="Sojaopbrengspeil">Sojabone!$L$9:$L$13</definedName>
    <definedName name="Sonopbrengspeil" localSheetId="9">[1]Sonneblom!$K$9:$K$13</definedName>
    <definedName name="Sonopbrengspeil">Sonneblom!$M$9:$M$14</definedName>
    <definedName name="Sorgopbrengspeil" localSheetId="9">[1]Graansorghum!$K$9:$K$13</definedName>
    <definedName name="Sorgopbrengspeil">Graansorghum!$L$9:$L$13</definedName>
    <definedName name="Verminopbrengspei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41" l="1"/>
  <c r="C12" i="40" l="1"/>
  <c r="C13" i="40"/>
  <c r="C14" i="40"/>
  <c r="C15" i="40"/>
  <c r="C16" i="40"/>
  <c r="C17" i="40"/>
  <c r="C19" i="40"/>
  <c r="C21" i="40"/>
  <c r="C22" i="40"/>
  <c r="C23" i="40"/>
  <c r="C25" i="40"/>
  <c r="C26" i="40"/>
  <c r="C11" i="40"/>
  <c r="B12" i="40"/>
  <c r="B13" i="40"/>
  <c r="B14" i="40"/>
  <c r="B15" i="40"/>
  <c r="B16" i="40"/>
  <c r="B17" i="40"/>
  <c r="B19" i="40"/>
  <c r="B21" i="40"/>
  <c r="B22" i="40"/>
  <c r="B23" i="40"/>
  <c r="B26" i="40"/>
  <c r="B11" i="40"/>
  <c r="D33" i="2" l="1"/>
  <c r="F12" i="40" l="1"/>
  <c r="F13" i="40"/>
  <c r="F14" i="40"/>
  <c r="F15" i="40"/>
  <c r="F16" i="40"/>
  <c r="F17" i="40"/>
  <c r="F19" i="40"/>
  <c r="F21" i="40"/>
  <c r="F22" i="40"/>
  <c r="F23" i="40"/>
  <c r="F25" i="40"/>
  <c r="F26" i="40"/>
  <c r="F11" i="40"/>
  <c r="E12" i="40"/>
  <c r="E13" i="40"/>
  <c r="E14" i="40"/>
  <c r="E15" i="40"/>
  <c r="E16" i="40"/>
  <c r="E17" i="40"/>
  <c r="E19" i="40"/>
  <c r="E21" i="40"/>
  <c r="E22" i="40"/>
  <c r="E23" i="40"/>
  <c r="E26" i="40"/>
  <c r="E11" i="40"/>
  <c r="D12" i="40"/>
  <c r="D13" i="40"/>
  <c r="D14" i="40"/>
  <c r="D15" i="40"/>
  <c r="D16" i="40"/>
  <c r="D17" i="40"/>
  <c r="D19" i="40"/>
  <c r="D21" i="40"/>
  <c r="D22" i="40"/>
  <c r="D23" i="40"/>
  <c r="D25" i="40"/>
  <c r="D26" i="40"/>
  <c r="D11" i="40"/>
  <c r="H29" i="40"/>
  <c r="B74" i="41" s="1"/>
  <c r="G29" i="40"/>
  <c r="F29" i="40"/>
  <c r="E29" i="40"/>
  <c r="D29" i="40"/>
  <c r="H12" i="40"/>
  <c r="H13" i="40"/>
  <c r="H14" i="40"/>
  <c r="H15" i="40"/>
  <c r="H16" i="40"/>
  <c r="H17" i="40"/>
  <c r="H23" i="40"/>
  <c r="H25" i="40"/>
  <c r="H26" i="40"/>
  <c r="H11" i="40"/>
  <c r="G12" i="40"/>
  <c r="G13" i="40"/>
  <c r="G14" i="40"/>
  <c r="G15" i="40"/>
  <c r="G16" i="40"/>
  <c r="G17" i="40"/>
  <c r="G21" i="40"/>
  <c r="G23" i="40"/>
  <c r="G26" i="40"/>
  <c r="G11" i="40"/>
  <c r="A12" i="40"/>
  <c r="A13" i="40"/>
  <c r="A14" i="40"/>
  <c r="A15" i="40"/>
  <c r="A16" i="40"/>
  <c r="A17" i="40"/>
  <c r="A18" i="40"/>
  <c r="A19" i="40"/>
  <c r="A20" i="40"/>
  <c r="A21" i="40"/>
  <c r="A22" i="40"/>
  <c r="A23" i="40"/>
  <c r="A24" i="40"/>
  <c r="A25" i="40"/>
  <c r="A26" i="40"/>
  <c r="A11" i="40"/>
  <c r="D4" i="40"/>
  <c r="A23" i="30"/>
  <c r="A23" i="16"/>
  <c r="A30" i="34" s="1"/>
  <c r="A23" i="20"/>
  <c r="A23" i="22"/>
  <c r="A23" i="19"/>
  <c r="D36" i="2"/>
  <c r="D25" i="2"/>
  <c r="D29" i="2" s="1"/>
  <c r="D31" i="2" s="1"/>
  <c r="E25" i="2"/>
  <c r="F25" i="2"/>
  <c r="G25" i="2"/>
  <c r="H25" i="2"/>
  <c r="I25" i="2"/>
  <c r="H4" i="40"/>
  <c r="G4" i="40"/>
  <c r="F4" i="40"/>
  <c r="E4" i="40"/>
  <c r="D32" i="34"/>
  <c r="D36" i="34" s="1"/>
  <c r="D38" i="34" s="1"/>
  <c r="D33" i="16"/>
  <c r="D25" i="16"/>
  <c r="D29" i="16" s="1"/>
  <c r="D31" i="16" s="1"/>
  <c r="E33" i="30"/>
  <c r="F33" i="30"/>
  <c r="G33" i="30"/>
  <c r="H33" i="30"/>
  <c r="D33" i="30"/>
  <c r="E33" i="20"/>
  <c r="F33" i="20"/>
  <c r="G33" i="20"/>
  <c r="H33" i="20"/>
  <c r="I33" i="20"/>
  <c r="D33" i="20"/>
  <c r="D25" i="20"/>
  <c r="E33" i="22"/>
  <c r="F33" i="22"/>
  <c r="G33" i="22"/>
  <c r="H33" i="22"/>
  <c r="I33" i="22"/>
  <c r="D33" i="22"/>
  <c r="E33" i="19"/>
  <c r="F33" i="19"/>
  <c r="G33" i="19"/>
  <c r="H33" i="19"/>
  <c r="D33" i="19"/>
  <c r="D25" i="19"/>
  <c r="D29" i="19" s="1"/>
  <c r="E33" i="2"/>
  <c r="F33" i="2"/>
  <c r="G33" i="2"/>
  <c r="H33" i="2"/>
  <c r="I33" i="2"/>
  <c r="D35" i="2" l="1"/>
  <c r="D29" i="20"/>
  <c r="D31" i="20" s="1"/>
  <c r="D35" i="20" s="1"/>
  <c r="D27" i="40"/>
  <c r="D31" i="19"/>
  <c r="B65" i="39" l="1"/>
  <c r="B78" i="39"/>
  <c r="B25" i="39"/>
  <c r="C4" i="40"/>
  <c r="B4" i="40" l="1"/>
  <c r="C5" i="40" l="1"/>
  <c r="F5" i="40"/>
  <c r="B85" i="39" l="1"/>
  <c r="H6" i="40" l="1"/>
  <c r="D5" i="34" l="1"/>
  <c r="D6" i="34"/>
  <c r="D7" i="34"/>
  <c r="D8" i="34"/>
  <c r="D9" i="34"/>
  <c r="F25" i="16"/>
  <c r="H60" i="40"/>
  <c r="F60" i="40"/>
  <c r="E60" i="40"/>
  <c r="D60" i="40"/>
  <c r="G6" i="40"/>
  <c r="E6" i="40"/>
  <c r="D6" i="40"/>
  <c r="B60" i="40"/>
  <c r="G5" i="40"/>
  <c r="G59" i="40" s="1"/>
  <c r="F59" i="40"/>
  <c r="E5" i="40"/>
  <c r="E59" i="40" s="1"/>
  <c r="B5" i="40"/>
  <c r="B59" i="40" s="1"/>
  <c r="H58" i="40"/>
  <c r="G58" i="40"/>
  <c r="F58" i="40"/>
  <c r="E58" i="40"/>
  <c r="D58" i="40"/>
  <c r="C58" i="40"/>
  <c r="B58" i="40"/>
  <c r="N11" i="16"/>
  <c r="N10" i="16"/>
  <c r="D4" i="34"/>
  <c r="N14" i="16"/>
  <c r="M14" i="16"/>
  <c r="L14" i="16"/>
  <c r="L13" i="16"/>
  <c r="L12" i="16"/>
  <c r="L11" i="16"/>
  <c r="L10" i="16"/>
  <c r="N9" i="16"/>
  <c r="L9" i="16"/>
  <c r="M14" i="30"/>
  <c r="L14" i="30"/>
  <c r="L13" i="30"/>
  <c r="L12" i="30"/>
  <c r="L11" i="30"/>
  <c r="L10" i="30"/>
  <c r="L9" i="30"/>
  <c r="M14" i="20"/>
  <c r="M13" i="20"/>
  <c r="M12" i="20"/>
  <c r="M11" i="20"/>
  <c r="M10" i="20"/>
  <c r="M9" i="20"/>
  <c r="M14" i="22"/>
  <c r="M13" i="22"/>
  <c r="M12" i="22"/>
  <c r="M11" i="22"/>
  <c r="M10" i="22"/>
  <c r="M9" i="22"/>
  <c r="M14" i="2"/>
  <c r="M13" i="2"/>
  <c r="M12" i="2"/>
  <c r="M11" i="2"/>
  <c r="M10" i="2"/>
  <c r="M9" i="2"/>
  <c r="D43" i="34"/>
  <c r="D36" i="16"/>
  <c r="F36" i="16" s="1"/>
  <c r="E33" i="16"/>
  <c r="E25" i="16"/>
  <c r="E29" i="16" s="1"/>
  <c r="E31" i="16" s="1"/>
  <c r="G25" i="16"/>
  <c r="H25" i="16"/>
  <c r="D36" i="30"/>
  <c r="F36" i="30" s="1"/>
  <c r="E25" i="30"/>
  <c r="E29" i="30" s="1"/>
  <c r="E31" i="30" s="1"/>
  <c r="F25" i="30"/>
  <c r="G25" i="30"/>
  <c r="H25" i="30"/>
  <c r="D25" i="30"/>
  <c r="D29" i="30" s="1"/>
  <c r="D36" i="20"/>
  <c r="F36" i="20" s="1"/>
  <c r="E25" i="20"/>
  <c r="E29" i="20" s="1"/>
  <c r="E31" i="20" s="1"/>
  <c r="F25" i="20"/>
  <c r="G25" i="20"/>
  <c r="H25" i="20"/>
  <c r="I25" i="20"/>
  <c r="I29" i="20" s="1"/>
  <c r="I31" i="20" s="1"/>
  <c r="E25" i="22"/>
  <c r="E29" i="22" s="1"/>
  <c r="E31" i="22" s="1"/>
  <c r="F25" i="22"/>
  <c r="F29" i="22" s="1"/>
  <c r="F31" i="22" s="1"/>
  <c r="G25" i="22"/>
  <c r="H25" i="22"/>
  <c r="I25" i="22"/>
  <c r="I29" i="22" s="1"/>
  <c r="I31" i="22" s="1"/>
  <c r="D36" i="22"/>
  <c r="G36" i="22" s="1"/>
  <c r="D25" i="22"/>
  <c r="D38" i="22" s="1"/>
  <c r="D36" i="19"/>
  <c r="F36" i="19" s="1"/>
  <c r="E25" i="19"/>
  <c r="E29" i="19" s="1"/>
  <c r="E31" i="19" s="1"/>
  <c r="F25" i="19"/>
  <c r="G25" i="19"/>
  <c r="G29" i="19" s="1"/>
  <c r="G31" i="19" s="1"/>
  <c r="H25" i="19"/>
  <c r="H29" i="19" s="1"/>
  <c r="H31" i="19" s="1"/>
  <c r="E29" i="2"/>
  <c r="E31" i="2" s="1"/>
  <c r="F29" i="2"/>
  <c r="F31" i="2" s="1"/>
  <c r="N9" i="2"/>
  <c r="G36" i="2"/>
  <c r="B91" i="39"/>
  <c r="B90" i="39"/>
  <c r="E89" i="39"/>
  <c r="B51" i="39"/>
  <c r="B48" i="39"/>
  <c r="E49" i="39"/>
  <c r="E50" i="39"/>
  <c r="E51" i="39" s="1"/>
  <c r="E23" i="39"/>
  <c r="E24" i="39" s="1"/>
  <c r="E25" i="39" s="1"/>
  <c r="Q23" i="39"/>
  <c r="Q22" i="39" s="1"/>
  <c r="Q21" i="39" s="1"/>
  <c r="B24" i="39"/>
  <c r="J19" i="39" s="1"/>
  <c r="I19" i="39" s="1"/>
  <c r="B77" i="39"/>
  <c r="B64" i="39"/>
  <c r="J59" i="39" s="1"/>
  <c r="B50" i="39"/>
  <c r="B37" i="39"/>
  <c r="E76" i="39"/>
  <c r="E77" i="39" s="1"/>
  <c r="E78" i="39" s="1"/>
  <c r="E63" i="39"/>
  <c r="N14" i="30"/>
  <c r="Q89" i="39"/>
  <c r="E88" i="39"/>
  <c r="E87" i="39" s="1"/>
  <c r="E90" i="39"/>
  <c r="E91" i="39" s="1"/>
  <c r="Q49" i="39"/>
  <c r="E48" i="39"/>
  <c r="E47" i="39" s="1"/>
  <c r="E64" i="39"/>
  <c r="E65" i="39"/>
  <c r="E62" i="39"/>
  <c r="E61" i="39"/>
  <c r="Q63" i="39"/>
  <c r="E22" i="39"/>
  <c r="E21" i="39" s="1"/>
  <c r="Q62" i="39"/>
  <c r="Q61" i="39" s="1"/>
  <c r="Q64" i="39"/>
  <c r="Q65" i="39" s="1"/>
  <c r="B84" i="39" l="1"/>
  <c r="F29" i="16"/>
  <c r="F31" i="16" s="1"/>
  <c r="M13" i="16"/>
  <c r="H29" i="16"/>
  <c r="H31" i="16" s="1"/>
  <c r="M12" i="16"/>
  <c r="G29" i="16"/>
  <c r="G31" i="16" s="1"/>
  <c r="N13" i="20"/>
  <c r="H29" i="20"/>
  <c r="H31" i="20" s="1"/>
  <c r="N12" i="20"/>
  <c r="G29" i="20"/>
  <c r="G31" i="20" s="1"/>
  <c r="B58" i="39"/>
  <c r="F29" i="20"/>
  <c r="F31" i="20" s="1"/>
  <c r="N13" i="22"/>
  <c r="H29" i="22"/>
  <c r="H31" i="22" s="1"/>
  <c r="N9" i="22"/>
  <c r="D29" i="22"/>
  <c r="N12" i="22"/>
  <c r="G29" i="22"/>
  <c r="G31" i="22" s="1"/>
  <c r="F29" i="19"/>
  <c r="F31" i="19" s="1"/>
  <c r="N13" i="2"/>
  <c r="H29" i="2"/>
  <c r="H31" i="2" s="1"/>
  <c r="N14" i="2"/>
  <c r="I29" i="2"/>
  <c r="I31" i="2" s="1"/>
  <c r="N12" i="2"/>
  <c r="G29" i="2"/>
  <c r="G31" i="2" s="1"/>
  <c r="M13" i="30"/>
  <c r="H29" i="30"/>
  <c r="H31" i="30" s="1"/>
  <c r="M11" i="30"/>
  <c r="F29" i="30"/>
  <c r="F31" i="30" s="1"/>
  <c r="M9" i="30"/>
  <c r="D31" i="30"/>
  <c r="B71" i="39"/>
  <c r="G29" i="30"/>
  <c r="G31" i="30" s="1"/>
  <c r="N9" i="20"/>
  <c r="G33" i="16"/>
  <c r="D35" i="16"/>
  <c r="H33" i="16"/>
  <c r="F33" i="16"/>
  <c r="E36" i="16"/>
  <c r="H36" i="16"/>
  <c r="B52" i="39"/>
  <c r="Q24" i="39"/>
  <c r="Q25" i="39" s="1"/>
  <c r="N11" i="20"/>
  <c r="N11" i="22"/>
  <c r="B44" i="39"/>
  <c r="N10" i="2"/>
  <c r="E36" i="22"/>
  <c r="B39" i="39"/>
  <c r="E75" i="39"/>
  <c r="E74" i="39" s="1"/>
  <c r="Q76" i="39"/>
  <c r="H36" i="30"/>
  <c r="G36" i="30"/>
  <c r="F36" i="2"/>
  <c r="B26" i="39"/>
  <c r="E3" i="22" s="1"/>
  <c r="E27" i="40"/>
  <c r="B36" i="41" s="1"/>
  <c r="N10" i="20"/>
  <c r="H36" i="22"/>
  <c r="I36" i="22"/>
  <c r="F36" i="22"/>
  <c r="J32" i="39"/>
  <c r="D10" i="34"/>
  <c r="H5" i="40" s="1"/>
  <c r="H7" i="40" s="1"/>
  <c r="H27" i="40"/>
  <c r="B73" i="41" s="1"/>
  <c r="G36" i="16"/>
  <c r="E36" i="30"/>
  <c r="G36" i="20"/>
  <c r="I36" i="20"/>
  <c r="E36" i="20"/>
  <c r="H36" i="20"/>
  <c r="E36" i="2"/>
  <c r="M9" i="16"/>
  <c r="C27" i="40"/>
  <c r="N11" i="2"/>
  <c r="G27" i="40"/>
  <c r="B27" i="40"/>
  <c r="E36" i="19"/>
  <c r="H36" i="19"/>
  <c r="I36" i="2"/>
  <c r="G36" i="19"/>
  <c r="B7" i="40"/>
  <c r="I59" i="39"/>
  <c r="V59" i="39"/>
  <c r="K59" i="39"/>
  <c r="J60" i="39"/>
  <c r="C7" i="40"/>
  <c r="C8" i="40" s="1"/>
  <c r="B5" i="41" s="1"/>
  <c r="B66" i="39"/>
  <c r="E3" i="20" s="1"/>
  <c r="H36" i="2"/>
  <c r="Q50" i="39"/>
  <c r="Q51" i="39" s="1"/>
  <c r="Q48" i="39"/>
  <c r="Q47" i="39" s="1"/>
  <c r="E36" i="39"/>
  <c r="F7" i="40"/>
  <c r="F8" i="40" s="1"/>
  <c r="B55" i="41" s="1"/>
  <c r="M10" i="16"/>
  <c r="E35" i="16"/>
  <c r="I20" i="39"/>
  <c r="H19" i="39"/>
  <c r="M10" i="30"/>
  <c r="J45" i="39"/>
  <c r="J72" i="39"/>
  <c r="J73" i="39" s="1"/>
  <c r="B79" i="39"/>
  <c r="E3" i="30" s="1"/>
  <c r="M11" i="16"/>
  <c r="V19" i="39"/>
  <c r="K19" i="39"/>
  <c r="J20" i="39"/>
  <c r="Q90" i="39"/>
  <c r="Q91" i="39" s="1"/>
  <c r="Q88" i="39"/>
  <c r="Q87" i="39" s="1"/>
  <c r="Q75" i="39"/>
  <c r="Q74" i="39" s="1"/>
  <c r="Q77" i="39"/>
  <c r="Q78" i="39" s="1"/>
  <c r="N10" i="22"/>
  <c r="N12" i="16"/>
  <c r="B92" i="39"/>
  <c r="E3" i="16" s="1"/>
  <c r="G7" i="40" s="1"/>
  <c r="G63" i="40" s="1"/>
  <c r="J85" i="39"/>
  <c r="C60" i="40"/>
  <c r="N14" i="20"/>
  <c r="M12" i="30"/>
  <c r="F27" i="40"/>
  <c r="B53" i="41" s="1"/>
  <c r="N14" i="22"/>
  <c r="E7" i="40"/>
  <c r="E8" i="40" s="1"/>
  <c r="B38" i="41" s="1"/>
  <c r="G60" i="40"/>
  <c r="B57" i="41" l="1"/>
  <c r="B8" i="40"/>
  <c r="B21" i="41" s="1"/>
  <c r="D31" i="22"/>
  <c r="D39" i="22"/>
  <c r="B86" i="39"/>
  <c r="F33" i="40"/>
  <c r="F35" i="16"/>
  <c r="G35" i="16"/>
  <c r="G67" i="40"/>
  <c r="G68" i="40" s="1"/>
  <c r="G82" i="40" s="1"/>
  <c r="B18" i="39"/>
  <c r="B19" i="41"/>
  <c r="B31" i="39"/>
  <c r="B3" i="41"/>
  <c r="I32" i="39"/>
  <c r="I33" i="39" s="1"/>
  <c r="J33" i="39"/>
  <c r="E3" i="2"/>
  <c r="E38" i="22"/>
  <c r="I38" i="22"/>
  <c r="G38" i="22"/>
  <c r="H38" i="22"/>
  <c r="F38" i="22"/>
  <c r="E3" i="19"/>
  <c r="E38" i="19" s="1"/>
  <c r="C63" i="40"/>
  <c r="C64" i="40" s="1"/>
  <c r="C33" i="40"/>
  <c r="C74" i="40" s="1"/>
  <c r="C75" i="40" s="1"/>
  <c r="K32" i="39"/>
  <c r="K33" i="39" s="1"/>
  <c r="H32" i="39"/>
  <c r="H33" i="39" s="1"/>
  <c r="B63" i="40"/>
  <c r="B64" i="40" s="1"/>
  <c r="V32" i="39"/>
  <c r="W32" i="39" s="1"/>
  <c r="D46" i="34"/>
  <c r="D44" i="34"/>
  <c r="H67" i="40"/>
  <c r="H68" i="40" s="1"/>
  <c r="H82" i="40" s="1"/>
  <c r="G64" i="40"/>
  <c r="G8" i="40"/>
  <c r="B33" i="40"/>
  <c r="B74" i="40" s="1"/>
  <c r="B75" i="40" s="1"/>
  <c r="B67" i="40"/>
  <c r="B68" i="40" s="1"/>
  <c r="B82" i="40" s="1"/>
  <c r="C67" i="40"/>
  <c r="C68" i="40" s="1"/>
  <c r="C82" i="40" s="1"/>
  <c r="H59" i="40"/>
  <c r="H8" i="40"/>
  <c r="H38" i="20"/>
  <c r="G31" i="40"/>
  <c r="G70" i="40" s="1"/>
  <c r="G84" i="40" s="1"/>
  <c r="E67" i="40"/>
  <c r="E68" i="40" s="1"/>
  <c r="E82" i="40" s="1"/>
  <c r="C59" i="40"/>
  <c r="D5" i="40"/>
  <c r="K60" i="39"/>
  <c r="L59" i="39"/>
  <c r="D38" i="20"/>
  <c r="U59" i="39"/>
  <c r="V60" i="39"/>
  <c r="V65" i="39" s="1"/>
  <c r="W59" i="39"/>
  <c r="H59" i="39"/>
  <c r="I60" i="39"/>
  <c r="H63" i="40"/>
  <c r="D67" i="40"/>
  <c r="K45" i="39"/>
  <c r="I45" i="39"/>
  <c r="V45" i="39"/>
  <c r="J46" i="39"/>
  <c r="G19" i="39"/>
  <c r="H20" i="39"/>
  <c r="E63" i="40"/>
  <c r="N13" i="16"/>
  <c r="H35" i="16"/>
  <c r="F67" i="40"/>
  <c r="K20" i="39"/>
  <c r="L19" i="39"/>
  <c r="F63" i="40"/>
  <c r="F64" i="40" s="1"/>
  <c r="U19" i="39"/>
  <c r="W19" i="39"/>
  <c r="V20" i="39"/>
  <c r="K85" i="39"/>
  <c r="I85" i="39"/>
  <c r="V85" i="39"/>
  <c r="J86" i="39"/>
  <c r="V72" i="39"/>
  <c r="I72" i="39"/>
  <c r="K72" i="39"/>
  <c r="E35" i="39"/>
  <c r="E34" i="39" s="1"/>
  <c r="Q36" i="39"/>
  <c r="E37" i="39"/>
  <c r="E38" i="39" s="1"/>
  <c r="H33" i="40" l="1"/>
  <c r="B75" i="41"/>
  <c r="G81" i="40"/>
  <c r="E38" i="2"/>
  <c r="G33" i="40"/>
  <c r="G74" i="40" s="1"/>
  <c r="G75" i="40" s="1"/>
  <c r="U32" i="39"/>
  <c r="T32" i="39" s="1"/>
  <c r="G32" i="39"/>
  <c r="F32" i="39" s="1"/>
  <c r="F33" i="39" s="1"/>
  <c r="V33" i="39"/>
  <c r="V38" i="39" s="1"/>
  <c r="F38" i="2"/>
  <c r="I38" i="2"/>
  <c r="H38" i="2"/>
  <c r="G38" i="2"/>
  <c r="G38" i="19"/>
  <c r="H38" i="19"/>
  <c r="B81" i="40"/>
  <c r="C81" i="40"/>
  <c r="V63" i="39"/>
  <c r="L32" i="39"/>
  <c r="L33" i="39" s="1"/>
  <c r="V62" i="39"/>
  <c r="V61" i="39"/>
  <c r="V64" i="39"/>
  <c r="G34" i="40"/>
  <c r="G77" i="40" s="1"/>
  <c r="G78" i="40" s="1"/>
  <c r="G71" i="40"/>
  <c r="G85" i="40" s="1"/>
  <c r="G38" i="30"/>
  <c r="E38" i="30"/>
  <c r="E38" i="16"/>
  <c r="E39" i="16"/>
  <c r="D38" i="30"/>
  <c r="H39" i="16"/>
  <c r="H38" i="16"/>
  <c r="F38" i="20"/>
  <c r="F38" i="16"/>
  <c r="F39" i="16"/>
  <c r="H38" i="30"/>
  <c r="D38" i="16"/>
  <c r="D39" i="16"/>
  <c r="I38" i="20"/>
  <c r="G38" i="20"/>
  <c r="G38" i="16"/>
  <c r="G39" i="16"/>
  <c r="F38" i="30"/>
  <c r="E38" i="20"/>
  <c r="H74" i="40"/>
  <c r="H75" i="40" s="1"/>
  <c r="G59" i="39"/>
  <c r="H60" i="39"/>
  <c r="M59" i="39"/>
  <c r="L60" i="39"/>
  <c r="H64" i="40"/>
  <c r="H81" i="40"/>
  <c r="W60" i="39"/>
  <c r="X59" i="39"/>
  <c r="U60" i="39"/>
  <c r="T59" i="39"/>
  <c r="D59" i="40"/>
  <c r="D7" i="40"/>
  <c r="I86" i="39"/>
  <c r="H85" i="39"/>
  <c r="V46" i="39"/>
  <c r="W45" i="39"/>
  <c r="U45" i="39"/>
  <c r="U72" i="39"/>
  <c r="W72" i="39"/>
  <c r="V73" i="39"/>
  <c r="F81" i="40"/>
  <c r="F68" i="40"/>
  <c r="F82" i="40" s="1"/>
  <c r="J89" i="39"/>
  <c r="J88" i="39"/>
  <c r="J91" i="39"/>
  <c r="J90" i="39"/>
  <c r="J87" i="39"/>
  <c r="G20" i="39"/>
  <c r="F19" i="39"/>
  <c r="F20" i="39" s="1"/>
  <c r="V21" i="39"/>
  <c r="V22" i="39"/>
  <c r="V24" i="39"/>
  <c r="V23" i="39"/>
  <c r="V25" i="39"/>
  <c r="K86" i="39"/>
  <c r="L85" i="39"/>
  <c r="U20" i="39"/>
  <c r="T19" i="39"/>
  <c r="E64" i="40"/>
  <c r="E81" i="40"/>
  <c r="H45" i="39"/>
  <c r="I46" i="39"/>
  <c r="K73" i="39"/>
  <c r="L72" i="39"/>
  <c r="X32" i="39"/>
  <c r="W33" i="39"/>
  <c r="F74" i="40"/>
  <c r="F75" i="40" s="1"/>
  <c r="E33" i="40"/>
  <c r="E74" i="40" s="1"/>
  <c r="E75" i="40" s="1"/>
  <c r="K46" i="39"/>
  <c r="L45" i="39"/>
  <c r="D68" i="40"/>
  <c r="D82" i="40" s="1"/>
  <c r="W85" i="39"/>
  <c r="V86" i="39"/>
  <c r="U85" i="39"/>
  <c r="Q37" i="39"/>
  <c r="Q38" i="39" s="1"/>
  <c r="Q35" i="39"/>
  <c r="Q34" i="39" s="1"/>
  <c r="I73" i="39"/>
  <c r="H72" i="39"/>
  <c r="M19" i="39"/>
  <c r="L20" i="39"/>
  <c r="X19" i="39"/>
  <c r="W20" i="39"/>
  <c r="F77" i="41" l="1"/>
  <c r="B77" i="41"/>
  <c r="C75" i="41" s="1"/>
  <c r="V36" i="39"/>
  <c r="V47" i="39"/>
  <c r="U33" i="39"/>
  <c r="U37" i="39" s="1"/>
  <c r="V51" i="39"/>
  <c r="V48" i="39"/>
  <c r="V49" i="39"/>
  <c r="G33" i="39"/>
  <c r="M32" i="39"/>
  <c r="M33" i="39" s="1"/>
  <c r="V50" i="39"/>
  <c r="V35" i="39"/>
  <c r="V34" i="39"/>
  <c r="V37" i="39"/>
  <c r="D38" i="19"/>
  <c r="D38" i="2"/>
  <c r="F38" i="19"/>
  <c r="D63" i="40"/>
  <c r="D8" i="40"/>
  <c r="M60" i="39"/>
  <c r="N59" i="39"/>
  <c r="N60" i="39" s="1"/>
  <c r="U65" i="39"/>
  <c r="U63" i="39"/>
  <c r="U64" i="39"/>
  <c r="U62" i="39"/>
  <c r="U61" i="39"/>
  <c r="W64" i="39"/>
  <c r="W62" i="39"/>
  <c r="W65" i="39"/>
  <c r="W61" i="39"/>
  <c r="W63" i="39"/>
  <c r="G60" i="39"/>
  <c r="F59" i="39"/>
  <c r="F60" i="39" s="1"/>
  <c r="S59" i="39"/>
  <c r="T60" i="39"/>
  <c r="Y59" i="39"/>
  <c r="X60" i="39"/>
  <c r="G45" i="39"/>
  <c r="H46" i="39"/>
  <c r="S19" i="39"/>
  <c r="T20" i="39"/>
  <c r="T45" i="39"/>
  <c r="U46" i="39"/>
  <c r="L86" i="39"/>
  <c r="M85" i="39"/>
  <c r="W51" i="39"/>
  <c r="W48" i="39"/>
  <c r="W36" i="39"/>
  <c r="W50" i="39"/>
  <c r="W38" i="39"/>
  <c r="W47" i="39"/>
  <c r="W49" i="39"/>
  <c r="W34" i="39"/>
  <c r="W35" i="39"/>
  <c r="W37" i="39"/>
  <c r="U24" i="39"/>
  <c r="U23" i="39"/>
  <c r="U25" i="39"/>
  <c r="U21" i="39"/>
  <c r="U22" i="39"/>
  <c r="W46" i="39"/>
  <c r="X45" i="39"/>
  <c r="V89" i="39"/>
  <c r="V90" i="39"/>
  <c r="V87" i="39"/>
  <c r="V88" i="39"/>
  <c r="V91" i="39"/>
  <c r="H86" i="39"/>
  <c r="G85" i="39"/>
  <c r="W25" i="39"/>
  <c r="W23" i="39"/>
  <c r="W24" i="39"/>
  <c r="W22" i="39"/>
  <c r="W21" i="39"/>
  <c r="X85" i="39"/>
  <c r="W86" i="39"/>
  <c r="Y32" i="39"/>
  <c r="X33" i="39"/>
  <c r="I89" i="39"/>
  <c r="I88" i="39"/>
  <c r="I91" i="39"/>
  <c r="I87" i="39"/>
  <c r="I90" i="39"/>
  <c r="N19" i="39"/>
  <c r="N20" i="39" s="1"/>
  <c r="M20" i="39"/>
  <c r="T33" i="39"/>
  <c r="S32" i="39"/>
  <c r="K91" i="39"/>
  <c r="K87" i="39"/>
  <c r="K88" i="39"/>
  <c r="K89" i="39"/>
  <c r="K90" i="39"/>
  <c r="Y19" i="39"/>
  <c r="X20" i="39"/>
  <c r="M72" i="39"/>
  <c r="L73" i="39"/>
  <c r="V76" i="39"/>
  <c r="V74" i="39"/>
  <c r="V75" i="39"/>
  <c r="V77" i="39"/>
  <c r="V78" i="39"/>
  <c r="T85" i="39"/>
  <c r="U86" i="39"/>
  <c r="H73" i="39"/>
  <c r="G72" i="39"/>
  <c r="X72" i="39"/>
  <c r="W73" i="39"/>
  <c r="M45" i="39"/>
  <c r="L46" i="39"/>
  <c r="U73" i="39"/>
  <c r="T72" i="39"/>
  <c r="C74" i="41" l="1"/>
  <c r="C73" i="41"/>
  <c r="F72" i="41"/>
  <c r="U47" i="39"/>
  <c r="U49" i="39"/>
  <c r="U35" i="39"/>
  <c r="U36" i="39"/>
  <c r="U38" i="39"/>
  <c r="U50" i="39"/>
  <c r="U34" i="39"/>
  <c r="U51" i="39"/>
  <c r="U48" i="39"/>
  <c r="N32" i="39"/>
  <c r="N33" i="39" s="1"/>
  <c r="T62" i="39"/>
  <c r="T61" i="39"/>
  <c r="T65" i="39"/>
  <c r="T64" i="39"/>
  <c r="T63" i="39"/>
  <c r="S60" i="39"/>
  <c r="R59" i="39"/>
  <c r="R60" i="39" s="1"/>
  <c r="D64" i="40"/>
  <c r="D81" i="40"/>
  <c r="X62" i="39"/>
  <c r="X61" i="39"/>
  <c r="X65" i="39"/>
  <c r="X63" i="39"/>
  <c r="X64" i="39"/>
  <c r="Z59" i="39"/>
  <c r="Z60" i="39" s="1"/>
  <c r="Y60" i="39"/>
  <c r="D33" i="40"/>
  <c r="D74" i="40" s="1"/>
  <c r="D75" i="40" s="1"/>
  <c r="W88" i="39"/>
  <c r="W91" i="39"/>
  <c r="W89" i="39"/>
  <c r="W87" i="39"/>
  <c r="W90" i="39"/>
  <c r="H90" i="39"/>
  <c r="H89" i="39"/>
  <c r="H87" i="39"/>
  <c r="H91" i="39"/>
  <c r="H88" i="39"/>
  <c r="R19" i="39"/>
  <c r="R20" i="39" s="1"/>
  <c r="S20" i="39"/>
  <c r="G73" i="39"/>
  <c r="F72" i="39"/>
  <c r="F73" i="39" s="1"/>
  <c r="Y85" i="39"/>
  <c r="X86" i="39"/>
  <c r="G46" i="39"/>
  <c r="F45" i="39"/>
  <c r="F46" i="39" s="1"/>
  <c r="M86" i="39"/>
  <c r="N85" i="39"/>
  <c r="N86" i="39" s="1"/>
  <c r="W74" i="39"/>
  <c r="W76" i="39"/>
  <c r="W75" i="39"/>
  <c r="W77" i="39"/>
  <c r="W78" i="39"/>
  <c r="T73" i="39"/>
  <c r="S72" i="39"/>
  <c r="Y72" i="39"/>
  <c r="X73" i="39"/>
  <c r="L90" i="39"/>
  <c r="L87" i="39"/>
  <c r="L91" i="39"/>
  <c r="L88" i="39"/>
  <c r="L89" i="39"/>
  <c r="U90" i="39"/>
  <c r="U88" i="39"/>
  <c r="U91" i="39"/>
  <c r="U87" i="39"/>
  <c r="U89" i="39"/>
  <c r="M73" i="39"/>
  <c r="N72" i="39"/>
  <c r="N73" i="39" s="1"/>
  <c r="R32" i="39"/>
  <c r="R33" i="39" s="1"/>
  <c r="S33" i="39"/>
  <c r="T86" i="39"/>
  <c r="S85" i="39"/>
  <c r="T51" i="39"/>
  <c r="T37" i="39"/>
  <c r="T36" i="39"/>
  <c r="T49" i="39"/>
  <c r="T34" i="39"/>
  <c r="T35" i="39"/>
  <c r="T50" i="39"/>
  <c r="T47" i="39"/>
  <c r="T38" i="39"/>
  <c r="T48" i="39"/>
  <c r="X48" i="39"/>
  <c r="X47" i="39"/>
  <c r="X37" i="39"/>
  <c r="X38" i="39"/>
  <c r="X49" i="39"/>
  <c r="X50" i="39"/>
  <c r="X35" i="39"/>
  <c r="X34" i="39"/>
  <c r="X36" i="39"/>
  <c r="X51" i="39"/>
  <c r="X46" i="39"/>
  <c r="Y45" i="39"/>
  <c r="S45" i="39"/>
  <c r="T46" i="39"/>
  <c r="U76" i="39"/>
  <c r="U78" i="39"/>
  <c r="U77" i="39"/>
  <c r="U75" i="39"/>
  <c r="U74" i="39"/>
  <c r="M46" i="39"/>
  <c r="N45" i="39"/>
  <c r="N46" i="39" s="1"/>
  <c r="X21" i="39"/>
  <c r="X22" i="39"/>
  <c r="X24" i="39"/>
  <c r="X25" i="39"/>
  <c r="X23" i="39"/>
  <c r="Z19" i="39"/>
  <c r="Z20" i="39" s="1"/>
  <c r="Y20" i="39"/>
  <c r="Y33" i="39"/>
  <c r="Z32" i="39"/>
  <c r="Z33" i="39" s="1"/>
  <c r="F85" i="39"/>
  <c r="F86" i="39" s="1"/>
  <c r="G86" i="39"/>
  <c r="T24" i="39"/>
  <c r="T23" i="39"/>
  <c r="T21" i="39"/>
  <c r="T25" i="39"/>
  <c r="T22" i="39"/>
  <c r="C77" i="41" l="1"/>
  <c r="F74" i="41" s="1"/>
  <c r="Y61" i="39"/>
  <c r="Y63" i="39"/>
  <c r="Y65" i="39"/>
  <c r="Y62" i="39"/>
  <c r="Y64" i="39"/>
  <c r="Z62" i="39"/>
  <c r="Z63" i="39"/>
  <c r="Z65" i="39"/>
  <c r="Z64" i="39"/>
  <c r="Z61" i="39"/>
  <c r="S64" i="39"/>
  <c r="S65" i="39"/>
  <c r="S61" i="39"/>
  <c r="S63" i="39"/>
  <c r="S62" i="39"/>
  <c r="R63" i="39"/>
  <c r="R64" i="39"/>
  <c r="R62" i="39"/>
  <c r="R65" i="39"/>
  <c r="R61" i="39"/>
  <c r="S47" i="39"/>
  <c r="S36" i="39"/>
  <c r="S50" i="39"/>
  <c r="S37" i="39"/>
  <c r="S35" i="39"/>
  <c r="S38" i="39"/>
  <c r="S48" i="39"/>
  <c r="S51" i="39"/>
  <c r="S49" i="39"/>
  <c r="S34" i="39"/>
  <c r="Y36" i="39"/>
  <c r="Y34" i="39"/>
  <c r="Y38" i="39"/>
  <c r="Y50" i="39"/>
  <c r="Y48" i="39"/>
  <c r="Y51" i="39"/>
  <c r="Y47" i="39"/>
  <c r="Y37" i="39"/>
  <c r="Y35" i="39"/>
  <c r="Y49" i="39"/>
  <c r="S73" i="39"/>
  <c r="R72" i="39"/>
  <c r="R73" i="39" s="1"/>
  <c r="M88" i="39"/>
  <c r="M91" i="39"/>
  <c r="M89" i="39"/>
  <c r="M87" i="39"/>
  <c r="M90" i="39"/>
  <c r="R23" i="39"/>
  <c r="R24" i="39"/>
  <c r="R25" i="39"/>
  <c r="R22" i="39"/>
  <c r="R21" i="39"/>
  <c r="S86" i="39"/>
  <c r="R85" i="39"/>
  <c r="R86" i="39" s="1"/>
  <c r="T77" i="39"/>
  <c r="T78" i="39"/>
  <c r="T75" i="39"/>
  <c r="T76" i="39"/>
  <c r="T74" i="39"/>
  <c r="T90" i="39"/>
  <c r="T87" i="39"/>
  <c r="T88" i="39"/>
  <c r="T89" i="39"/>
  <c r="T91" i="39"/>
  <c r="Y46" i="39"/>
  <c r="Z45" i="39"/>
  <c r="Z46" i="39" s="1"/>
  <c r="R38" i="39"/>
  <c r="R36" i="39"/>
  <c r="R47" i="39"/>
  <c r="R51" i="39"/>
  <c r="R49" i="39"/>
  <c r="R48" i="39"/>
  <c r="R34" i="39"/>
  <c r="R50" i="39"/>
  <c r="R37" i="39"/>
  <c r="R35" i="39"/>
  <c r="Y86" i="39"/>
  <c r="Z85" i="39"/>
  <c r="Z86" i="39" s="1"/>
  <c r="G88" i="39"/>
  <c r="G90" i="39"/>
  <c r="G91" i="39"/>
  <c r="G87" i="39"/>
  <c r="G89" i="39"/>
  <c r="F90" i="39"/>
  <c r="F87" i="39"/>
  <c r="F89" i="39"/>
  <c r="F91" i="39"/>
  <c r="F88" i="39"/>
  <c r="Y21" i="39"/>
  <c r="Y23" i="39"/>
  <c r="Y22" i="39"/>
  <c r="Y25" i="39"/>
  <c r="Y24" i="39"/>
  <c r="X77" i="39"/>
  <c r="X76" i="39"/>
  <c r="X74" i="39"/>
  <c r="X78" i="39"/>
  <c r="X75" i="39"/>
  <c r="S46" i="39"/>
  <c r="R45" i="39"/>
  <c r="R46" i="39" s="1"/>
  <c r="X87" i="39"/>
  <c r="X88" i="39"/>
  <c r="X89" i="39"/>
  <c r="X90" i="39"/>
  <c r="X91" i="39"/>
  <c r="Z49" i="39"/>
  <c r="Z47" i="39"/>
  <c r="Z50" i="39"/>
  <c r="Z38" i="39"/>
  <c r="Z36" i="39"/>
  <c r="Z48" i="39"/>
  <c r="Z37" i="39"/>
  <c r="Z35" i="39"/>
  <c r="Z51" i="39"/>
  <c r="Z34" i="39"/>
  <c r="Z25" i="39"/>
  <c r="Z23" i="39"/>
  <c r="Z24" i="39"/>
  <c r="Z22" i="39"/>
  <c r="Z21" i="39"/>
  <c r="Z72" i="39"/>
  <c r="Z73" i="39" s="1"/>
  <c r="Y73" i="39"/>
  <c r="N87" i="39"/>
  <c r="N90" i="39"/>
  <c r="N91" i="39"/>
  <c r="N88" i="39"/>
  <c r="N89" i="39"/>
  <c r="S25" i="39"/>
  <c r="S23" i="39"/>
  <c r="S21" i="39"/>
  <c r="S22" i="39"/>
  <c r="S24" i="39"/>
  <c r="S77" i="39" l="1"/>
  <c r="S74" i="39"/>
  <c r="S76" i="39"/>
  <c r="S75" i="39"/>
  <c r="S78" i="39"/>
  <c r="R77" i="39"/>
  <c r="R76" i="39"/>
  <c r="R75" i="39"/>
  <c r="R74" i="39"/>
  <c r="R78" i="39"/>
  <c r="R90" i="39"/>
  <c r="R89" i="39"/>
  <c r="R91" i="39"/>
  <c r="R88" i="39"/>
  <c r="R87" i="39"/>
  <c r="Y75" i="39"/>
  <c r="Y74" i="39"/>
  <c r="Y77" i="39"/>
  <c r="Y78" i="39"/>
  <c r="Y76" i="39"/>
  <c r="Z87" i="39"/>
  <c r="Z91" i="39"/>
  <c r="Z89" i="39"/>
  <c r="Z90" i="39"/>
  <c r="Z88" i="39"/>
  <c r="Z75" i="39"/>
  <c r="Z74" i="39"/>
  <c r="Z77" i="39"/>
  <c r="Z76" i="39"/>
  <c r="Z78" i="39"/>
  <c r="Y89" i="39"/>
  <c r="Y91" i="39"/>
  <c r="Y88" i="39"/>
  <c r="Y87" i="39"/>
  <c r="Y90" i="39"/>
  <c r="S87" i="39"/>
  <c r="S89" i="39"/>
  <c r="S88" i="39"/>
  <c r="S91" i="39"/>
  <c r="S90" i="39"/>
  <c r="B29" i="40" l="1"/>
  <c r="O9" i="2"/>
  <c r="B31" i="40" l="1"/>
  <c r="B34" i="40" s="1"/>
  <c r="B77" i="40" s="1"/>
  <c r="B78" i="40" s="1"/>
  <c r="B20" i="41"/>
  <c r="O9" i="20"/>
  <c r="C29" i="40"/>
  <c r="O10" i="2"/>
  <c r="B19" i="39"/>
  <c r="B20" i="39" s="1"/>
  <c r="N9" i="30"/>
  <c r="B72" i="39"/>
  <c r="D31" i="40"/>
  <c r="O9" i="22"/>
  <c r="D39" i="2"/>
  <c r="H31" i="40"/>
  <c r="D47" i="34"/>
  <c r="B70" i="40" l="1"/>
  <c r="B71" i="40" s="1"/>
  <c r="B85" i="40" s="1"/>
  <c r="F23" i="41"/>
  <c r="B23" i="41"/>
  <c r="C31" i="40"/>
  <c r="C34" i="40" s="1"/>
  <c r="C77" i="40" s="1"/>
  <c r="C78" i="40" s="1"/>
  <c r="B4" i="41"/>
  <c r="E31" i="40"/>
  <c r="E70" i="40" s="1"/>
  <c r="B37" i="41"/>
  <c r="F31" i="40"/>
  <c r="F34" i="40" s="1"/>
  <c r="F77" i="40" s="1"/>
  <c r="F78" i="40" s="1"/>
  <c r="D34" i="40"/>
  <c r="D77" i="40" s="1"/>
  <c r="D78" i="40" s="1"/>
  <c r="D70" i="40"/>
  <c r="D39" i="19"/>
  <c r="D35" i="19"/>
  <c r="D42" i="34"/>
  <c r="O11" i="2"/>
  <c r="O10" i="22"/>
  <c r="N10" i="30"/>
  <c r="E35" i="2"/>
  <c r="E39" i="2"/>
  <c r="D39" i="30"/>
  <c r="D35" i="30"/>
  <c r="O10" i="20"/>
  <c r="J25" i="39"/>
  <c r="L23" i="39"/>
  <c r="N24" i="39"/>
  <c r="N22" i="39"/>
  <c r="M23" i="39"/>
  <c r="F21" i="39"/>
  <c r="H22" i="39"/>
  <c r="M22" i="39"/>
  <c r="G23" i="39"/>
  <c r="F24" i="39"/>
  <c r="N21" i="39"/>
  <c r="H23" i="39"/>
  <c r="G22" i="39"/>
  <c r="N25" i="39"/>
  <c r="L22" i="39"/>
  <c r="I23" i="39"/>
  <c r="J21" i="39"/>
  <c r="K21" i="39"/>
  <c r="F25" i="39"/>
  <c r="K23" i="39"/>
  <c r="M21" i="39"/>
  <c r="M25" i="39"/>
  <c r="K22" i="39"/>
  <c r="J22" i="39"/>
  <c r="L24" i="39"/>
  <c r="J23" i="39"/>
  <c r="G25" i="39"/>
  <c r="L21" i="39"/>
  <c r="L25" i="39"/>
  <c r="M24" i="39"/>
  <c r="F22" i="39"/>
  <c r="H25" i="39"/>
  <c r="F23" i="39"/>
  <c r="I24" i="39"/>
  <c r="J24" i="39"/>
  <c r="H24" i="39"/>
  <c r="K24" i="39"/>
  <c r="G21" i="39"/>
  <c r="G24" i="39"/>
  <c r="I21" i="39"/>
  <c r="I25" i="39"/>
  <c r="N23" i="39"/>
  <c r="H21" i="39"/>
  <c r="K25" i="39"/>
  <c r="I22" i="39"/>
  <c r="H70" i="40"/>
  <c r="H34" i="40"/>
  <c r="H77" i="40" s="1"/>
  <c r="H78" i="40" s="1"/>
  <c r="D39" i="20"/>
  <c r="D35" i="22"/>
  <c r="B84" i="40" l="1"/>
  <c r="C70" i="40"/>
  <c r="C71" i="40" s="1"/>
  <c r="C85" i="40" s="1"/>
  <c r="F70" i="40"/>
  <c r="F71" i="40" s="1"/>
  <c r="F85" i="40" s="1"/>
  <c r="E34" i="40"/>
  <c r="E77" i="40" s="1"/>
  <c r="E78" i="40" s="1"/>
  <c r="F18" i="41"/>
  <c r="B40" i="41"/>
  <c r="F40" i="41"/>
  <c r="F57" i="41"/>
  <c r="C20" i="41"/>
  <c r="F7" i="41"/>
  <c r="B7" i="41"/>
  <c r="C4" i="41" s="1"/>
  <c r="C19" i="41"/>
  <c r="C21" i="41"/>
  <c r="B45" i="39"/>
  <c r="B46" i="39" s="1"/>
  <c r="O11" i="22"/>
  <c r="E39" i="19"/>
  <c r="E35" i="19"/>
  <c r="H71" i="40"/>
  <c r="H85" i="40" s="1"/>
  <c r="H84" i="40"/>
  <c r="O11" i="20"/>
  <c r="B59" i="39"/>
  <c r="B60" i="39" s="1"/>
  <c r="F39" i="20"/>
  <c r="F35" i="2"/>
  <c r="F39" i="2"/>
  <c r="O12" i="2"/>
  <c r="N11" i="30"/>
  <c r="B73" i="39" s="1"/>
  <c r="J76" i="39" s="1"/>
  <c r="D84" i="40"/>
  <c r="D71" i="40"/>
  <c r="D85" i="40" s="1"/>
  <c r="E71" i="40"/>
  <c r="E85" i="40" s="1"/>
  <c r="E84" i="40"/>
  <c r="E35" i="30"/>
  <c r="E39" i="30"/>
  <c r="E39" i="20"/>
  <c r="E35" i="20"/>
  <c r="E35" i="22"/>
  <c r="E39" i="22"/>
  <c r="F52" i="41" l="1"/>
  <c r="F84" i="40"/>
  <c r="C23" i="41"/>
  <c r="F20" i="41" s="1"/>
  <c r="C84" i="40"/>
  <c r="F2" i="41"/>
  <c r="F35" i="41"/>
  <c r="C54" i="41"/>
  <c r="C55" i="41"/>
  <c r="C53" i="41"/>
  <c r="C37" i="41"/>
  <c r="C36" i="41"/>
  <c r="C38" i="41"/>
  <c r="C5" i="41"/>
  <c r="C3" i="41"/>
  <c r="J75" i="39"/>
  <c r="N74" i="39"/>
  <c r="L74" i="39"/>
  <c r="F77" i="39"/>
  <c r="H77" i="39"/>
  <c r="L77" i="39"/>
  <c r="G78" i="39"/>
  <c r="K77" i="39"/>
  <c r="H76" i="39"/>
  <c r="N76" i="39"/>
  <c r="I75" i="39"/>
  <c r="H78" i="39"/>
  <c r="F78" i="39"/>
  <c r="F76" i="39"/>
  <c r="J78" i="39"/>
  <c r="M75" i="39"/>
  <c r="G74" i="39"/>
  <c r="I74" i="39"/>
  <c r="H74" i="39"/>
  <c r="I77" i="39"/>
  <c r="I78" i="39"/>
  <c r="F75" i="39"/>
  <c r="M74" i="39"/>
  <c r="G77" i="39"/>
  <c r="G76" i="39"/>
  <c r="L75" i="39"/>
  <c r="L78" i="39"/>
  <c r="K76" i="39"/>
  <c r="N75" i="39"/>
  <c r="F74" i="39"/>
  <c r="N77" i="39"/>
  <c r="K74" i="39"/>
  <c r="J77" i="39"/>
  <c r="L76" i="39"/>
  <c r="N78" i="39"/>
  <c r="M76" i="39"/>
  <c r="M78" i="39"/>
  <c r="J74" i="39"/>
  <c r="M77" i="39"/>
  <c r="I76" i="39"/>
  <c r="H75" i="39"/>
  <c r="G75" i="39"/>
  <c r="K75" i="39"/>
  <c r="K78" i="39"/>
  <c r="F39" i="22"/>
  <c r="F35" i="22"/>
  <c r="H51" i="39"/>
  <c r="J48" i="39"/>
  <c r="F47" i="39"/>
  <c r="N49" i="39"/>
  <c r="K47" i="39"/>
  <c r="M48" i="39"/>
  <c r="J49" i="39"/>
  <c r="G50" i="39"/>
  <c r="G48" i="39"/>
  <c r="M50" i="39"/>
  <c r="I48" i="39"/>
  <c r="K51" i="39"/>
  <c r="N50" i="39"/>
  <c r="H49" i="39"/>
  <c r="F49" i="39"/>
  <c r="I50" i="39"/>
  <c r="J50" i="39"/>
  <c r="I51" i="39"/>
  <c r="G47" i="39"/>
  <c r="L51" i="39"/>
  <c r="G51" i="39"/>
  <c r="N48" i="39"/>
  <c r="H48" i="39"/>
  <c r="H50" i="39"/>
  <c r="G49" i="39"/>
  <c r="L47" i="39"/>
  <c r="J47" i="39"/>
  <c r="F48" i="39"/>
  <c r="K50" i="39"/>
  <c r="K49" i="39"/>
  <c r="L49" i="39"/>
  <c r="I49" i="39"/>
  <c r="L50" i="39"/>
  <c r="M51" i="39"/>
  <c r="N51" i="39"/>
  <c r="F50" i="39"/>
  <c r="K48" i="39"/>
  <c r="M49" i="39"/>
  <c r="F51" i="39"/>
  <c r="N47" i="39"/>
  <c r="I47" i="39"/>
  <c r="H47" i="39"/>
  <c r="M47" i="39"/>
  <c r="J51" i="39"/>
  <c r="L48" i="39"/>
  <c r="O12" i="22"/>
  <c r="F35" i="20"/>
  <c r="B32" i="39"/>
  <c r="B33" i="39" s="1"/>
  <c r="F35" i="30"/>
  <c r="F39" i="30"/>
  <c r="G35" i="2"/>
  <c r="G39" i="2"/>
  <c r="O13" i="2"/>
  <c r="O12" i="20"/>
  <c r="N12" i="30"/>
  <c r="G64" i="39"/>
  <c r="K65" i="39"/>
  <c r="M64" i="39"/>
  <c r="M61" i="39"/>
  <c r="F61" i="39"/>
  <c r="F62" i="39"/>
  <c r="H63" i="39"/>
  <c r="L61" i="39"/>
  <c r="N63" i="39"/>
  <c r="M62" i="39"/>
  <c r="K61" i="39"/>
  <c r="I61" i="39"/>
  <c r="N62" i="39"/>
  <c r="G62" i="39"/>
  <c r="I64" i="39"/>
  <c r="K64" i="39"/>
  <c r="J62" i="39"/>
  <c r="I62" i="39"/>
  <c r="J65" i="39"/>
  <c r="H65" i="39"/>
  <c r="L63" i="39"/>
  <c r="J63" i="39"/>
  <c r="H61" i="39"/>
  <c r="J64" i="39"/>
  <c r="I65" i="39"/>
  <c r="N64" i="39"/>
  <c r="G65" i="39"/>
  <c r="L65" i="39"/>
  <c r="K63" i="39"/>
  <c r="H62" i="39"/>
  <c r="F65" i="39"/>
  <c r="I63" i="39"/>
  <c r="F64" i="39"/>
  <c r="N61" i="39"/>
  <c r="L64" i="39"/>
  <c r="M63" i="39"/>
  <c r="M65" i="39"/>
  <c r="G61" i="39"/>
  <c r="F63" i="39"/>
  <c r="G63" i="39"/>
  <c r="J61" i="39"/>
  <c r="N65" i="39"/>
  <c r="L62" i="39"/>
  <c r="H64" i="39"/>
  <c r="K62" i="39"/>
  <c r="F35" i="19"/>
  <c r="F39" i="19"/>
  <c r="C7" i="41" l="1"/>
  <c r="F4" i="41" s="1"/>
  <c r="C57" i="41"/>
  <c r="F54" i="41" s="1"/>
  <c r="C40" i="41"/>
  <c r="F37" i="41" s="1"/>
  <c r="N13" i="30"/>
  <c r="O13" i="20"/>
  <c r="G35" i="30"/>
  <c r="G39" i="30"/>
  <c r="G35" i="20"/>
  <c r="G39" i="20"/>
  <c r="H39" i="2"/>
  <c r="H35" i="2"/>
  <c r="O14" i="2"/>
  <c r="O13" i="22"/>
  <c r="J34" i="39"/>
  <c r="N34" i="39"/>
  <c r="H36" i="39"/>
  <c r="M35" i="39"/>
  <c r="G34" i="39"/>
  <c r="F36" i="39"/>
  <c r="M38" i="39"/>
  <c r="N35" i="39"/>
  <c r="K38" i="39"/>
  <c r="L36" i="39"/>
  <c r="N37" i="39"/>
  <c r="I35" i="39"/>
  <c r="J37" i="39"/>
  <c r="N38" i="39"/>
  <c r="L37" i="39"/>
  <c r="H37" i="39"/>
  <c r="N36" i="39"/>
  <c r="F37" i="39"/>
  <c r="H38" i="39"/>
  <c r="I34" i="39"/>
  <c r="G38" i="39"/>
  <c r="K34" i="39"/>
  <c r="M36" i="39"/>
  <c r="G35" i="39"/>
  <c r="J36" i="39"/>
  <c r="K35" i="39"/>
  <c r="I36" i="39"/>
  <c r="I37" i="39"/>
  <c r="K36" i="39"/>
  <c r="I38" i="39"/>
  <c r="L38" i="39"/>
  <c r="G37" i="39"/>
  <c r="J38" i="39"/>
  <c r="K37" i="39"/>
  <c r="H34" i="39"/>
  <c r="M37" i="39"/>
  <c r="L34" i="39"/>
  <c r="G36" i="39"/>
  <c r="F34" i="39"/>
  <c r="M34" i="39"/>
  <c r="J35" i="39"/>
  <c r="L35" i="39"/>
  <c r="H35" i="39"/>
  <c r="F35" i="39"/>
  <c r="F38" i="39"/>
  <c r="G35" i="19"/>
  <c r="G39" i="19"/>
  <c r="G35" i="22"/>
  <c r="G39" i="22"/>
  <c r="O14" i="22" l="1"/>
  <c r="H39" i="20"/>
  <c r="H35" i="20"/>
  <c r="H39" i="19"/>
  <c r="H35" i="19"/>
  <c r="H39" i="22"/>
  <c r="H35" i="22"/>
  <c r="O14" i="20"/>
  <c r="I35" i="2"/>
  <c r="I39" i="2"/>
  <c r="H35" i="30"/>
  <c r="H39" i="30"/>
  <c r="I39" i="20" l="1"/>
  <c r="I35" i="20"/>
  <c r="I39" i="22"/>
  <c r="I35" i="22"/>
</calcChain>
</file>

<file path=xl/sharedStrings.xml><?xml version="1.0" encoding="utf-8"?>
<sst xmlns="http://schemas.openxmlformats.org/spreadsheetml/2006/main" count="517" uniqueCount="178">
  <si>
    <t xml:space="preserve">NWFS </t>
  </si>
  <si>
    <t>2026/27 season</t>
  </si>
  <si>
    <t>Datum opgedateer / Date updated</t>
  </si>
  <si>
    <t>Gewas</t>
  </si>
  <si>
    <t>SAFEX pryse (R/ton)</t>
  </si>
  <si>
    <t>Total deductions (R/ton)</t>
  </si>
  <si>
    <t>Mielies / Maize- Jul 27</t>
  </si>
  <si>
    <t>Sonneblom / Sunflower- Mei 27</t>
  </si>
  <si>
    <t>Sojabone / Soybeans- Mei 27</t>
  </si>
  <si>
    <t>Graansorghum / Grain sorghum</t>
  </si>
  <si>
    <t>Grondbone/ Groundnuts:  Keur/ Choice 1</t>
  </si>
  <si>
    <t xml:space="preserve">                    Keur/ Choice 2</t>
  </si>
  <si>
    <t xml:space="preserve">                    Diverse</t>
  </si>
  <si>
    <t xml:space="preserve">                    Pers (eet) / Crush (eat)</t>
  </si>
  <si>
    <t xml:space="preserve">                    Pers (olie) / Crush (oil)</t>
  </si>
  <si>
    <t xml:space="preserve">                    Hooi verkope / sales</t>
  </si>
  <si>
    <t>ROUNDUP READY MIELIES (Laer potensiaal) / ROUNDUP READY MAIZE (Lower potential)</t>
  </si>
  <si>
    <t>MIELIES: SENSITIWITEITSANALISE - TOTALE KOSTES ( DIREKTE KOSTE + VASTE KOSTE) R/ton</t>
  </si>
  <si>
    <t>MIELIES: SENSITIWITEITSANALISE - DIREKTE KOSTE R/ton</t>
  </si>
  <si>
    <t>Lopendekoste / Variable cost (R/ha)</t>
  </si>
  <si>
    <t>Huidig</t>
  </si>
  <si>
    <t>Oorhoofse koste / Overhead cost (R/ha)</t>
  </si>
  <si>
    <t>SAFEX prys / price(R/ton)</t>
  </si>
  <si>
    <t>Totale Koste / Total cost (R/ha)</t>
  </si>
  <si>
    <t>Produsenteprys/ Producer price</t>
  </si>
  <si>
    <t>Opbrengs / Yield (t/ha)</t>
  </si>
  <si>
    <t>Gemid Opbrengs / Average Yield (t/ha)</t>
  </si>
  <si>
    <t xml:space="preserve">Aftrekkings / Deductions </t>
  </si>
  <si>
    <t>Produsenteprys/ Producer price (R/ton)</t>
  </si>
  <si>
    <r>
      <t>ROUNDUP READY MIELIES (Ho</t>
    </r>
    <r>
      <rPr>
        <b/>
        <sz val="10"/>
        <rFont val="Calibri"/>
        <family val="2"/>
      </rPr>
      <t>ё</t>
    </r>
    <r>
      <rPr>
        <b/>
        <sz val="10"/>
        <rFont val="Arial"/>
        <family val="2"/>
      </rPr>
      <t>r potensiaal) / ROUNDUP READY MAIZE (Higher potential)</t>
    </r>
  </si>
  <si>
    <t>BT MIELIES / BT MAIZE</t>
  </si>
  <si>
    <t>SONNEBLOM / SUNFLOWER</t>
  </si>
  <si>
    <t>SONNEBLOM: SENSITIWITEITSANALISE - TOTALE KOSTES ( DIREKTE KOSTE + VASTE KOSTE) R/ton</t>
  </si>
  <si>
    <t>SONNEBLOM: SENSITIWITEITSANALISE - DIREKTE KOSTE R/ton</t>
  </si>
  <si>
    <t>SOJABONE / SOYBEANS</t>
  </si>
  <si>
    <t>SOJABONE: SENSITIWITEITSANALISE - TOTALE KOSTES ( DIREKTE KOSTE + VASTE KOSTE) R/ton</t>
  </si>
  <si>
    <t>SOJABONE: SENSITIWITEITSANALISE - DIREKTE KOSTE R/ton</t>
  </si>
  <si>
    <t>Huidige</t>
  </si>
  <si>
    <t>GRAANSORGHUM / GRAIN SORGHUM</t>
  </si>
  <si>
    <t>SORGHUM: SENSITIWITEITSANALISE - TOTALE KOSTES ( DIREKTE KOSTE + VASTE KOSTE) R/ton</t>
  </si>
  <si>
    <t>SORGHUM: SENSATIWITIETSANALISE - DIREKTE KOSTE R/ton</t>
  </si>
  <si>
    <t>Produsent prys raming vir droëland ROUND-UP READY MIELIES (lae potensiaal)  /               Producer price framework for dry land ROUND-UP READY MAIZE (low potential)</t>
  </si>
  <si>
    <t>PRODUKSIEJAAR   2026-27                     PRODUCTION YEAR 2026-27</t>
  </si>
  <si>
    <t>Huidige Produkprys op plaas vir beste graad / Current product price for the best grade (R/TON) (Safex min bemarkingskoste/marketing cost)</t>
  </si>
  <si>
    <t>Rand/ton</t>
  </si>
  <si>
    <t>Beplanningsopbrengs / Estimated yields (ton/ha)</t>
  </si>
  <si>
    <t>Bruto produksiewaarde / Gross production value (R/ha)</t>
  </si>
  <si>
    <t>RRLMielies</t>
  </si>
  <si>
    <t>Direk Toedeelbare veranderlike koste / Direct Allocated Variable costs (R/ha)</t>
  </si>
  <si>
    <t>Opbrengspeil</t>
  </si>
  <si>
    <t>Lopende koste</t>
  </si>
  <si>
    <t>Oorhoofse koste</t>
  </si>
  <si>
    <t>Saad / Seed</t>
  </si>
  <si>
    <t>Kunsmis / Fertiliser</t>
  </si>
  <si>
    <t>Kalk / Lime</t>
  </si>
  <si>
    <t>Brandstof / Fuel</t>
  </si>
  <si>
    <t>Reparasie / Reparation</t>
  </si>
  <si>
    <t>Onkruiddoders / Herbicide</t>
  </si>
  <si>
    <t>Plaagdoder / Pest control</t>
  </si>
  <si>
    <t>Insetversekering / Input insurance</t>
  </si>
  <si>
    <t>Graanprysverskansing / Grain hedging</t>
  </si>
  <si>
    <t>Kontrakstroop / Contract Harvesting</t>
  </si>
  <si>
    <t>Oesversekering / Harvest insurance</t>
  </si>
  <si>
    <t>Lugspuit / Aerial spray</t>
  </si>
  <si>
    <t>Losarbeid / Casual labour</t>
  </si>
  <si>
    <t>Droogkoste / Drying cost</t>
  </si>
  <si>
    <t>Oorlê land koste / overlay costs</t>
  </si>
  <si>
    <t>Produksiekrediet rente / Interest on production R/ha</t>
  </si>
  <si>
    <t>Totale Direk Toedeelbare veranderlike koste / Total Direct Allocated Variable Cost  (R/ha)</t>
  </si>
  <si>
    <t>Totale Oorhoofse koste / Total overhead cost R/ha</t>
  </si>
  <si>
    <t>Totale Koste per ha voor fisiese bemarking R/ha / Total cost per ha before marketing cost R/ha</t>
  </si>
  <si>
    <t>Totale koste per ton voor fisiese bemarking R/Ton / Total cost per ton before marketing cost R/Ton</t>
  </si>
  <si>
    <t>Totale bemarkingskoste / Total marketing cost R/ton</t>
  </si>
  <si>
    <t>Verwagte minimum Safex prys SONDER wins/ Expected minimum Safex price, WITHOUT profit</t>
  </si>
  <si>
    <t>Huidige Safex prys / Current Safex price</t>
  </si>
  <si>
    <t>BRUTO MARGE / GROSS MARGIN  (R/ha)</t>
  </si>
  <si>
    <t>NETTO MARGE / NETT MARGIN  (R/ha)</t>
  </si>
  <si>
    <t>guarantee and for which Grain SA accepts no liability. Any prices or levels contained herein are preliminary and indicative only and do not</t>
  </si>
  <si>
    <t>represent bids or offers. These indications are provided solely for your information and consideration.</t>
  </si>
  <si>
    <t xml:space="preserve">                                        Thank you to the Maize Trust for partially funding this project</t>
  </si>
  <si>
    <t>Produsent prys raming vir droëland ROUND-UP READY MIELIES (hoe potensiaal)  / Producer price framework for dry land ROUND-UP READY MAIZE (high potential)</t>
  </si>
  <si>
    <t>PRODUKSIEJAAR   2026-27   PRODUCTION YEAR 2026-27</t>
  </si>
  <si>
    <t>BTMielies</t>
  </si>
  <si>
    <t>PRODUKSIEJAAR   2026-27             PRODUCTION YEAR 2026-27</t>
  </si>
  <si>
    <t>Sonneblom</t>
  </si>
  <si>
    <t>PRODUKSIEJAAR   2026-27                   PRODUCTION YEAR 2026-27</t>
  </si>
  <si>
    <t>Sorghum</t>
  </si>
  <si>
    <t>PRODUKSIEJAAR   2026-27      PRODUCTION YEAR 2026-27</t>
  </si>
  <si>
    <t>Graadverdeling / Grade distribution</t>
  </si>
  <si>
    <t>Prys per graad / Price per grade (R/ton)</t>
  </si>
  <si>
    <t>%</t>
  </si>
  <si>
    <t>Keur / Choice 1</t>
  </si>
  <si>
    <t>Keur / Choice 2</t>
  </si>
  <si>
    <t>Diverse / Diverse</t>
  </si>
  <si>
    <t xml:space="preserve">Pers (eet) / Crush </t>
  </si>
  <si>
    <t>Pers (olie)</t>
  </si>
  <si>
    <t>Hooi verkope / sales</t>
  </si>
  <si>
    <t>Gemiddelde prys vir al die grade / Average price for all grades</t>
  </si>
  <si>
    <t>Verwagte minimum prys SONDER wins/ Expected minimum price, WITHOUT profit</t>
  </si>
  <si>
    <t>Huidige prys / Current price (keur)</t>
  </si>
  <si>
    <t>Gemiddelde prys vir al die grade / Average price for all the grades</t>
  </si>
  <si>
    <t>Produsent prys raming vir droëland SOJABONE vir die                                                                              Producer price framework for dry land SOYBEANS for the</t>
  </si>
  <si>
    <t>Sojabone</t>
  </si>
  <si>
    <t>Column1</t>
  </si>
  <si>
    <t>Column2</t>
  </si>
  <si>
    <t>Column3</t>
  </si>
  <si>
    <t>Column4</t>
  </si>
  <si>
    <t>Column5</t>
  </si>
  <si>
    <t>Column6</t>
  </si>
  <si>
    <t>Column7</t>
  </si>
  <si>
    <t xml:space="preserve">Crop </t>
  </si>
  <si>
    <t>Maize (lower yield)</t>
  </si>
  <si>
    <t>Maize (higher yield)</t>
  </si>
  <si>
    <t>Maize (Bt)</t>
  </si>
  <si>
    <t>Sunflower</t>
  </si>
  <si>
    <t>Soybean</t>
  </si>
  <si>
    <t>Grain Sorghum</t>
  </si>
  <si>
    <t>Groundnuts</t>
  </si>
  <si>
    <t xml:space="preserve">1) INCOME </t>
  </si>
  <si>
    <t>White Maize</t>
  </si>
  <si>
    <t>Yield target (ton/ha)</t>
  </si>
  <si>
    <t>Soybeans</t>
  </si>
  <si>
    <t xml:space="preserve">SAFEX: Estimated Price </t>
  </si>
  <si>
    <t>Sunflowers</t>
  </si>
  <si>
    <t xml:space="preserve">Deductions </t>
  </si>
  <si>
    <t>Net Farm Gate Price</t>
  </si>
  <si>
    <t>GROSS INCOME (R/ha)</t>
  </si>
  <si>
    <t xml:space="preserve">2) VARIABLE EXPENDITURES </t>
  </si>
  <si>
    <t>TOTAL VARIABLE EXPENDITURE (R/ha)</t>
  </si>
  <si>
    <t>TOTAL FIXED COST (R/ha)</t>
  </si>
  <si>
    <t>TOTAL COST (R/ha)</t>
  </si>
  <si>
    <t>3) GROSS MARGIN  (R/ha)</t>
  </si>
  <si>
    <t>4) NETT MARGIN  (R/ha)</t>
  </si>
  <si>
    <t xml:space="preserve">SUMMARY </t>
  </si>
  <si>
    <t>LGO (ton/ha)</t>
  </si>
  <si>
    <t>Net Farm Gate Price (R/ha)</t>
  </si>
  <si>
    <t>Net Farm Gate Price (R/ton)</t>
  </si>
  <si>
    <t xml:space="preserve">2) EXPENDITURES </t>
  </si>
  <si>
    <t>Total variable cost (R/ha)</t>
  </si>
  <si>
    <t>Total variable cost (R/ton)</t>
  </si>
  <si>
    <t>Total variable &amp; fixed expenditure (R/ha)</t>
  </si>
  <si>
    <t>Total variable &amp; fixed expenditure (R/ton)</t>
  </si>
  <si>
    <t>3) MARGIN</t>
  </si>
  <si>
    <t>Gross margin (R/ha)</t>
  </si>
  <si>
    <t>Gross margin (R/ton)</t>
  </si>
  <si>
    <t>Nett margin (R/ha)</t>
  </si>
  <si>
    <t>Net margin (R/ton)</t>
  </si>
  <si>
    <t>BREAK-EVEN &amp; PROFITABILITY (ONLY variable cost)</t>
  </si>
  <si>
    <t>Break-even yields (t/ha)</t>
  </si>
  <si>
    <t>Break-even Safex price (t/ha)</t>
  </si>
  <si>
    <t>BREAK-EVEN &amp; PROFITABILITY (variable &amp; fixed cost)</t>
  </si>
  <si>
    <t>Winsgewendheid: Mielies (Hoer opbrengs)</t>
  </si>
  <si>
    <t>Pointer</t>
  </si>
  <si>
    <t>Start</t>
  </si>
  <si>
    <t>% NM van tot</t>
  </si>
  <si>
    <t>Veranderlike koste</t>
  </si>
  <si>
    <t>Vaste koste</t>
  </si>
  <si>
    <t>End</t>
  </si>
  <si>
    <t>Totale inkomste</t>
  </si>
  <si>
    <t>Max</t>
  </si>
  <si>
    <t>Totaal</t>
  </si>
  <si>
    <t>Netto Marge</t>
  </si>
  <si>
    <t>Winsgewendheid: Mielies (Gemid opbrengs)</t>
  </si>
  <si>
    <t>Winsgewendheid: Sonneblom</t>
  </si>
  <si>
    <t>Winsgewendheid: Sojabone</t>
  </si>
  <si>
    <t>Winsgewendheid: Sorghum</t>
  </si>
  <si>
    <r>
      <t>Disclaimer:</t>
    </r>
    <r>
      <rPr>
        <sz val="11"/>
        <rFont val="Aptos"/>
        <family val="2"/>
      </rPr>
      <t xml:space="preserve"> The information herein has been obtained from various sources, the accuracy and/or completeness of which Grain SA does not</t>
    </r>
  </si>
  <si>
    <t>Produsent prys raming vir droëland Bt MIELIES  /  Producer price framework for dry land BT MAIZE</t>
  </si>
  <si>
    <t>Produsent prys raming vir droëland SONNEBLOM vir die / Producer price framework for dry land SUNFLOWER for the</t>
  </si>
  <si>
    <t>Produsent prys raming vir droëland GRONDBONE vir die /  Producer price framework for dry land GROUNDNUTS for the</t>
  </si>
  <si>
    <t>Produsent prys raming vir droëland GRAANSORGHUM vir die  / Producer price framework for dry land GRAIN SORGHUM for the</t>
  </si>
  <si>
    <r>
      <rPr>
        <b/>
        <sz val="11"/>
        <color indexed="30"/>
        <rFont val="Aptos"/>
        <family val="2"/>
      </rPr>
      <t>NORTH WEST FREE STATE</t>
    </r>
    <r>
      <rPr>
        <b/>
        <sz val="11"/>
        <color indexed="8"/>
        <rFont val="Aptos"/>
        <family val="2"/>
      </rPr>
      <t xml:space="preserve"> INCOME &amp; COST BUDGETS - SUMMER CROPS 2026/27 </t>
    </r>
  </si>
  <si>
    <r>
      <rPr>
        <b/>
        <sz val="11"/>
        <color indexed="8"/>
        <rFont val="Aptos"/>
        <family val="2"/>
      </rPr>
      <t>Disclaimer:</t>
    </r>
    <r>
      <rPr>
        <b/>
        <sz val="11"/>
        <rFont val="Aptos"/>
        <family val="2"/>
      </rPr>
      <t xml:space="preserve"> The information herein has been obtained from various sources, the accuracy and/or completeness of which Grain SA does not guarantee and for which Grain SA accepts no liability. Any prices or levels contained herein are preliminary and indicative only and do not represent bids or offers. These indications are provided solely for your information and consideration.</t>
    </r>
  </si>
  <si>
    <t>SAFEX Mei'27 Soy prys/price  (R/ton)</t>
  </si>
  <si>
    <t>SAFEX Jul'27 WM 1 prys/price  (R/ton)</t>
  </si>
  <si>
    <t>SAFEX Mar'27 prys/price  (R/ton)</t>
  </si>
  <si>
    <t>Contract prys/price  (R/ton)</t>
  </si>
  <si>
    <t>North West 5-year average (2020/21-2024/25 production seasons)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</si>
</sst>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0.00_-;\-* #,##0.00_-;_-* &quot;-&quot;??_-;_-@_-"/>
    <numFmt numFmtId="164" formatCode="_(&quot;$&quot;* #,##0.00_);_(&quot;$&quot;* \(#,##0.00\);_(&quot;$&quot;* &quot;-&quot;??_);_(@_)"/>
    <numFmt numFmtId="165" formatCode="_(* #,##0.00_);_(* \(#,##0.00\);_(* &quot;-&quot;??_);_(@_)"/>
    <numFmt numFmtId="166" formatCode="_ &quot;R&quot;\ * #,##0.00_ ;_ &quot;R&quot;\ * \-#,##0.00_ ;_ &quot;R&quot;\ * &quot;-&quot;??_ ;_ @_ "/>
    <numFmt numFmtId="167" formatCode="_ * #,##0.00_ ;_ * \-#,##0.00_ ;_ * &quot;-&quot;??_ ;_ @_ "/>
    <numFmt numFmtId="168" formatCode="0.00_)"/>
    <numFmt numFmtId="169" formatCode="0_)"/>
    <numFmt numFmtId="170" formatCode="0.0"/>
    <numFmt numFmtId="171" formatCode="_ * #,##0.0_ ;_ * \-#,##0.0_ ;_ * &quot;-&quot;?_ ;_ @_ "/>
    <numFmt numFmtId="172" formatCode="_ * #,##0_ ;_ * \-#,##0_ ;_ * &quot;-&quot;??_ ;_ @_ "/>
    <numFmt numFmtId="173" formatCode="_ * #,##0.00_ ;_ * \-#,##0.00_ ;_ * &quot;-&quot;?_ ;_ @_ "/>
    <numFmt numFmtId="174" formatCode="&quot;R&quot;\ #,##0.00"/>
    <numFmt numFmtId="175" formatCode="&quot;R&quot;\ #,##0"/>
    <numFmt numFmtId="176" formatCode="_ [$R-1C09]\ * #,##0.00_ ;_ [$R-1C09]\ * \-#,##0.00_ ;_ [$R-1C09]\ * &quot;-&quot;??_ ;_ @_ "/>
    <numFmt numFmtId="177" formatCode="&quot;R&quot;#,##0.00"/>
    <numFmt numFmtId="179" formatCode="_-&quot;R&quot;* #,##0_-;\-&quot;R&quot;* #,##0_-;_-&quot;R&quot;* &quot;-&quot;??_-;_-@_-"/>
    <numFmt numFmtId="180" formatCode="_ [$R-1C09]\ * #,##0_ ;_ [$R-1C09]\ * \-#,##0_ ;_ [$R-1C09]\ * &quot;-&quot;??_ ;_ @_ "/>
    <numFmt numFmtId="182" formatCode="[$-F800]dddd\,\ mmmm\ dd\,\ yyyy"/>
  </numFmts>
  <fonts count="35" x14ac:knownFonts="1">
    <font>
      <sz val="10"/>
      <name val="Arial"/>
    </font>
    <font>
      <sz val="11"/>
      <color theme="1"/>
      <name val="Calibri"/>
      <family val="2"/>
      <scheme val="minor"/>
    </font>
    <font>
      <b/>
      <sz val="10"/>
      <name val="Arial"/>
      <family val="2"/>
    </font>
    <font>
      <sz val="10"/>
      <name val="Arial"/>
      <family val="2"/>
    </font>
    <font>
      <b/>
      <sz val="10"/>
      <color indexed="10"/>
      <name val="Arial"/>
      <family val="2"/>
    </font>
    <font>
      <u/>
      <sz val="10"/>
      <color indexed="12"/>
      <name val="Courier"/>
      <family val="3"/>
    </font>
    <font>
      <b/>
      <sz val="12"/>
      <name val="Arial"/>
      <family val="2"/>
    </font>
    <font>
      <sz val="10"/>
      <name val="Arial"/>
      <family val="2"/>
    </font>
    <font>
      <sz val="10"/>
      <name val="Arial"/>
      <family val="2"/>
    </font>
    <font>
      <sz val="8"/>
      <name val="Arial"/>
      <family val="2"/>
    </font>
    <font>
      <sz val="10"/>
      <name val="Segoe UI"/>
      <family val="2"/>
    </font>
    <font>
      <sz val="11"/>
      <color indexed="8"/>
      <name val="Calibri"/>
      <family val="2"/>
    </font>
    <font>
      <sz val="10"/>
      <name val="Arial"/>
      <family val="2"/>
    </font>
    <font>
      <sz val="10"/>
      <name val="Arial Black"/>
      <family val="2"/>
    </font>
    <font>
      <u/>
      <sz val="7.5"/>
      <color indexed="12"/>
      <name val="Arial"/>
      <family val="2"/>
    </font>
    <font>
      <b/>
      <sz val="10"/>
      <name val="Calibri"/>
      <family val="2"/>
    </font>
    <font>
      <sz val="11"/>
      <color indexed="8"/>
      <name val="Calibri"/>
      <family val="2"/>
    </font>
    <font>
      <b/>
      <sz val="11"/>
      <color indexed="8"/>
      <name val="Calibri"/>
      <family val="2"/>
    </font>
    <font>
      <b/>
      <sz val="18"/>
      <color indexed="17"/>
      <name val="Arial"/>
      <family val="2"/>
    </font>
    <font>
      <b/>
      <sz val="10"/>
      <color indexed="8"/>
      <name val="Arial"/>
      <family val="2"/>
    </font>
    <font>
      <b/>
      <sz val="11"/>
      <color indexed="10"/>
      <name val="Calibri"/>
      <family val="2"/>
    </font>
    <font>
      <sz val="11"/>
      <name val="Times New Roman"/>
      <family val="1"/>
    </font>
    <font>
      <sz val="11"/>
      <color theme="1"/>
      <name val="Calibri"/>
      <family val="2"/>
      <scheme val="minor"/>
    </font>
    <font>
      <sz val="10"/>
      <color theme="1"/>
      <name val="Arial"/>
      <family val="2"/>
    </font>
    <font>
      <sz val="10"/>
      <name val="Arial"/>
      <family val="2"/>
    </font>
    <font>
      <b/>
      <sz val="11"/>
      <color theme="0"/>
      <name val="Aptos"/>
      <family val="2"/>
    </font>
    <font>
      <sz val="11"/>
      <color indexed="10"/>
      <name val="Aptos"/>
      <family val="2"/>
    </font>
    <font>
      <b/>
      <sz val="11"/>
      <color indexed="8"/>
      <name val="Aptos"/>
      <family val="2"/>
    </font>
    <font>
      <b/>
      <sz val="11"/>
      <name val="Aptos"/>
      <family val="2"/>
    </font>
    <font>
      <sz val="11"/>
      <name val="Aptos"/>
      <family val="2"/>
    </font>
    <font>
      <sz val="11"/>
      <color theme="0"/>
      <name val="Aptos"/>
      <family val="2"/>
    </font>
    <font>
      <b/>
      <sz val="11"/>
      <color indexed="10"/>
      <name val="Aptos"/>
      <family val="2"/>
    </font>
    <font>
      <b/>
      <sz val="11"/>
      <color indexed="30"/>
      <name val="Aptos"/>
      <family val="2"/>
    </font>
    <font>
      <sz val="11"/>
      <color theme="1"/>
      <name val="Aptos"/>
      <family val="2"/>
    </font>
    <font>
      <b/>
      <sz val="11"/>
      <color theme="1"/>
      <name val="Aptos"/>
      <family val="2"/>
    </font>
  </fonts>
  <fills count="11">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0"/>
        <bgColor indexed="64"/>
      </patternFill>
    </fill>
    <fill>
      <patternFill patternType="solid">
        <fgColor indexed="9"/>
        <bgColor indexed="9"/>
      </patternFill>
    </fill>
    <fill>
      <patternFill patternType="solid">
        <fgColor indexed="22"/>
        <bgColor indexed="9"/>
      </patternFill>
    </fill>
    <fill>
      <patternFill patternType="solid">
        <fgColor theme="0"/>
        <bgColor indexed="64"/>
      </patternFill>
    </fill>
    <fill>
      <patternFill patternType="solid">
        <fgColor rgb="FF3A6367"/>
        <bgColor indexed="64"/>
      </patternFill>
    </fill>
    <fill>
      <patternFill patternType="solid">
        <fgColor rgb="FFAD9244"/>
        <bgColor indexed="64"/>
      </patternFill>
    </fill>
    <fill>
      <patternFill patternType="solid">
        <fgColor theme="4" tint="-0.249977111117893"/>
        <bgColor indexed="64"/>
      </patternFill>
    </fill>
  </fills>
  <borders count="55">
    <border>
      <left/>
      <right/>
      <top/>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bottom style="double">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right/>
      <top style="thin">
        <color indexed="64"/>
      </top>
      <bottom style="double">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double">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116">
    <xf numFmtId="0" fontId="0" fillId="0" borderId="0"/>
    <xf numFmtId="167" fontId="3" fillId="0" borderId="0" applyFont="0" applyFill="0" applyBorder="0" applyAlignment="0" applyProtection="0"/>
    <xf numFmtId="167"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6" fillId="0" borderId="0" applyFont="0" applyFill="0" applyBorder="0" applyAlignment="0" applyProtection="0"/>
    <xf numFmtId="167" fontId="11" fillId="0" borderId="0" applyFont="0" applyFill="0" applyBorder="0" applyAlignment="0" applyProtection="0"/>
    <xf numFmtId="43" fontId="16" fillId="0" borderId="0" applyFont="0" applyFill="0" applyBorder="0" applyAlignment="0" applyProtection="0"/>
    <xf numFmtId="43" fontId="11" fillId="0" borderId="0" applyFont="0" applyFill="0" applyBorder="0" applyAlignment="0" applyProtection="0"/>
    <xf numFmtId="164" fontId="3" fillId="0" borderId="0" applyFont="0" applyFill="0" applyBorder="0" applyAlignment="0" applyProtection="0"/>
    <xf numFmtId="166" fontId="16" fillId="0" borderId="0" applyFont="0" applyFill="0" applyBorder="0" applyAlignment="0" applyProtection="0"/>
    <xf numFmtId="166" fontId="11" fillId="0" borderId="0" applyFon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 fillId="0" borderId="0"/>
    <xf numFmtId="0" fontId="9" fillId="0" borderId="0"/>
    <xf numFmtId="0" fontId="9" fillId="0" borderId="0"/>
    <xf numFmtId="0" fontId="9" fillId="0" borderId="0"/>
    <xf numFmtId="0" fontId="3" fillId="0" borderId="0"/>
    <xf numFmtId="0" fontId="3" fillId="0" borderId="0"/>
    <xf numFmtId="0" fontId="10" fillId="0" borderId="0"/>
    <xf numFmtId="0" fontId="9" fillId="0" borderId="0"/>
    <xf numFmtId="0" fontId="23" fillId="0" borderId="0"/>
    <xf numFmtId="0" fontId="23" fillId="0" borderId="0"/>
    <xf numFmtId="0" fontId="3" fillId="0" borderId="0"/>
    <xf numFmtId="0" fontId="23" fillId="0" borderId="0"/>
    <xf numFmtId="0" fontId="23" fillId="0" borderId="0"/>
    <xf numFmtId="0" fontId="21" fillId="0" borderId="0"/>
    <xf numFmtId="0" fontId="3" fillId="0" borderId="0"/>
    <xf numFmtId="0" fontId="3" fillId="0" borderId="0"/>
    <xf numFmtId="0" fontId="22" fillId="0" borderId="0"/>
    <xf numFmtId="0" fontId="23" fillId="0" borderId="0"/>
    <xf numFmtId="0" fontId="23" fillId="0" borderId="0"/>
    <xf numFmtId="0" fontId="3" fillId="0" borderId="0"/>
    <xf numFmtId="0" fontId="23" fillId="0" borderId="0"/>
    <xf numFmtId="0" fontId="23" fillId="0" borderId="0"/>
    <xf numFmtId="0" fontId="3" fillId="0" borderId="0"/>
    <xf numFmtId="0" fontId="23" fillId="0" borderId="0"/>
    <xf numFmtId="0" fontId="23" fillId="0" borderId="0"/>
    <xf numFmtId="0" fontId="22" fillId="0" borderId="0"/>
    <xf numFmtId="0" fontId="9" fillId="0" borderId="0"/>
    <xf numFmtId="0" fontId="9" fillId="0" borderId="0"/>
    <xf numFmtId="0" fontId="22" fillId="0" borderId="0"/>
    <xf numFmtId="0" fontId="3" fillId="0" borderId="0"/>
    <xf numFmtId="0" fontId="9" fillId="0" borderId="0"/>
    <xf numFmtId="0" fontId="9" fillId="0" borderId="0"/>
    <xf numFmtId="0" fontId="10"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6"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6"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1" fillId="0" borderId="0"/>
    <xf numFmtId="9" fontId="24" fillId="0" borderId="0" applyFont="0" applyFill="0" applyBorder="0" applyAlignment="0" applyProtection="0"/>
  </cellStyleXfs>
  <cellXfs count="444">
    <xf numFmtId="0" fontId="0" fillId="0" borderId="0" xfId="0"/>
    <xf numFmtId="0" fontId="3" fillId="0" borderId="0" xfId="64"/>
    <xf numFmtId="0" fontId="6" fillId="0" borderId="0" xfId="64" applyFont="1"/>
    <xf numFmtId="0" fontId="3" fillId="0" borderId="10" xfId="64" applyBorder="1" applyAlignment="1">
      <alignment horizontal="center" vertical="center" wrapText="1"/>
    </xf>
    <xf numFmtId="0" fontId="3" fillId="0" borderId="1" xfId="64" applyBorder="1" applyAlignment="1">
      <alignment horizontal="center" vertical="center" wrapText="1"/>
    </xf>
    <xf numFmtId="0" fontId="19" fillId="2" borderId="4" xfId="64" applyFont="1" applyFill="1" applyBorder="1" applyAlignment="1">
      <alignment horizontal="center" vertical="center"/>
    </xf>
    <xf numFmtId="0" fontId="2" fillId="2" borderId="4" xfId="64" applyFont="1" applyFill="1" applyBorder="1" applyAlignment="1">
      <alignment horizontal="center" vertical="center"/>
    </xf>
    <xf numFmtId="0" fontId="2" fillId="0" borderId="20" xfId="64" applyFont="1" applyBorder="1" applyAlignment="1">
      <alignment horizontal="center" vertical="center"/>
    </xf>
    <xf numFmtId="170" fontId="2" fillId="0" borderId="10" xfId="64" applyNumberFormat="1" applyFont="1" applyBorder="1" applyAlignment="1">
      <alignment horizontal="center" vertical="center"/>
    </xf>
    <xf numFmtId="1" fontId="2" fillId="3" borderId="21" xfId="64" applyNumberFormat="1" applyFont="1" applyFill="1" applyBorder="1" applyAlignment="1">
      <alignment horizontal="center" vertical="center"/>
    </xf>
    <xf numFmtId="1" fontId="2" fillId="3" borderId="22" xfId="64" applyNumberFormat="1" applyFont="1" applyFill="1" applyBorder="1" applyAlignment="1">
      <alignment horizontal="center" vertical="center"/>
    </xf>
    <xf numFmtId="1" fontId="2" fillId="4" borderId="22" xfId="64" applyNumberFormat="1" applyFont="1" applyFill="1" applyBorder="1" applyAlignment="1">
      <alignment horizontal="center" vertical="center"/>
    </xf>
    <xf numFmtId="1" fontId="2" fillId="4" borderId="23" xfId="64" applyNumberFormat="1" applyFont="1" applyFill="1" applyBorder="1" applyAlignment="1">
      <alignment horizontal="center" vertical="center"/>
    </xf>
    <xf numFmtId="1" fontId="2" fillId="3" borderId="24" xfId="64" applyNumberFormat="1" applyFont="1" applyFill="1" applyBorder="1" applyAlignment="1">
      <alignment horizontal="center" vertical="center"/>
    </xf>
    <xf numFmtId="1" fontId="2" fillId="3" borderId="25" xfId="64" applyNumberFormat="1" applyFont="1" applyFill="1" applyBorder="1" applyAlignment="1">
      <alignment horizontal="center" vertical="center"/>
    </xf>
    <xf numFmtId="1" fontId="2" fillId="4" borderId="25" xfId="64" applyNumberFormat="1" applyFont="1" applyFill="1" applyBorder="1" applyAlignment="1">
      <alignment horizontal="center" vertical="center"/>
    </xf>
    <xf numFmtId="1" fontId="2" fillId="4" borderId="26" xfId="64" applyNumberFormat="1" applyFont="1" applyFill="1" applyBorder="1" applyAlignment="1">
      <alignment horizontal="center" vertical="center"/>
    </xf>
    <xf numFmtId="1" fontId="2" fillId="3" borderId="27" xfId="64" applyNumberFormat="1" applyFont="1" applyFill="1" applyBorder="1" applyAlignment="1">
      <alignment horizontal="center" vertical="center"/>
    </xf>
    <xf numFmtId="1" fontId="2" fillId="3" borderId="28" xfId="64" applyNumberFormat="1" applyFont="1" applyFill="1" applyBorder="1" applyAlignment="1">
      <alignment horizontal="center" vertical="center"/>
    </xf>
    <xf numFmtId="1" fontId="2" fillId="4" borderId="28" xfId="64" applyNumberFormat="1" applyFont="1" applyFill="1" applyBorder="1" applyAlignment="1">
      <alignment horizontal="center" vertical="center"/>
    </xf>
    <xf numFmtId="1" fontId="2" fillId="4" borderId="29" xfId="64" applyNumberFormat="1" applyFont="1" applyFill="1" applyBorder="1" applyAlignment="1">
      <alignment horizontal="center" vertical="center"/>
    </xf>
    <xf numFmtId="0" fontId="13" fillId="0" borderId="0" xfId="64" applyFont="1" applyAlignment="1">
      <alignment horizontal="center" vertical="center" textRotation="90" wrapText="1"/>
    </xf>
    <xf numFmtId="170" fontId="13" fillId="0" borderId="0" xfId="64" applyNumberFormat="1" applyFont="1" applyAlignment="1">
      <alignment horizontal="center" vertical="center"/>
    </xf>
    <xf numFmtId="1" fontId="13" fillId="0" borderId="0" xfId="64" applyNumberFormat="1" applyFont="1" applyAlignment="1">
      <alignment horizontal="center" vertical="center"/>
    </xf>
    <xf numFmtId="172" fontId="2" fillId="2" borderId="4" xfId="64" applyNumberFormat="1" applyFont="1" applyFill="1" applyBorder="1" applyAlignment="1">
      <alignment horizontal="center" vertical="center"/>
    </xf>
    <xf numFmtId="172" fontId="19" fillId="2" borderId="4" xfId="64" applyNumberFormat="1" applyFont="1" applyFill="1" applyBorder="1" applyAlignment="1">
      <alignment horizontal="center" vertical="center"/>
    </xf>
    <xf numFmtId="172" fontId="19" fillId="0" borderId="20" xfId="64" applyNumberFormat="1" applyFont="1" applyBorder="1" applyAlignment="1">
      <alignment horizontal="center" vertical="center"/>
    </xf>
    <xf numFmtId="172" fontId="2" fillId="0" borderId="20" xfId="64" applyNumberFormat="1" applyFont="1" applyBorder="1" applyAlignment="1">
      <alignment horizontal="center" vertical="center"/>
    </xf>
    <xf numFmtId="0" fontId="3" fillId="7" borderId="0" xfId="64" applyFill="1"/>
    <xf numFmtId="0" fontId="6" fillId="7" borderId="0" xfId="64" applyFont="1" applyFill="1"/>
    <xf numFmtId="0" fontId="17" fillId="7" borderId="0" xfId="0" applyFont="1" applyFill="1"/>
    <xf numFmtId="175" fontId="17" fillId="7" borderId="0" xfId="0" applyNumberFormat="1" applyFont="1" applyFill="1" applyAlignment="1">
      <alignment horizontal="center"/>
    </xf>
    <xf numFmtId="0" fontId="18" fillId="7" borderId="0" xfId="64" applyFont="1" applyFill="1"/>
    <xf numFmtId="0" fontId="2" fillId="7" borderId="0" xfId="64" applyFont="1" applyFill="1" applyAlignment="1">
      <alignment horizontal="center" vertical="center"/>
    </xf>
    <xf numFmtId="0" fontId="3" fillId="7" borderId="0" xfId="35" applyFill="1"/>
    <xf numFmtId="175" fontId="20" fillId="7" borderId="0" xfId="30" applyNumberFormat="1" applyFont="1" applyFill="1" applyAlignment="1" applyProtection="1">
      <alignment horizontal="center"/>
      <protection locked="0"/>
    </xf>
    <xf numFmtId="0" fontId="3" fillId="7" borderId="0" xfId="64" applyFill="1" applyProtection="1">
      <protection locked="0"/>
    </xf>
    <xf numFmtId="175" fontId="20" fillId="7" borderId="0" xfId="35" applyNumberFormat="1" applyFont="1" applyFill="1" applyAlignment="1" applyProtection="1">
      <alignment horizontal="center"/>
      <protection locked="0"/>
    </xf>
    <xf numFmtId="0" fontId="11" fillId="7" borderId="0" xfId="0" applyFont="1" applyFill="1"/>
    <xf numFmtId="14" fontId="2" fillId="7" borderId="0" xfId="64" applyNumberFormat="1" applyFont="1" applyFill="1"/>
    <xf numFmtId="167" fontId="3" fillId="7" borderId="0" xfId="64" applyNumberFormat="1" applyFill="1" applyAlignment="1">
      <alignment horizontal="center"/>
    </xf>
    <xf numFmtId="167" fontId="2" fillId="7" borderId="0" xfId="64" applyNumberFormat="1" applyFont="1" applyFill="1" applyAlignment="1">
      <alignment horizontal="center"/>
    </xf>
    <xf numFmtId="0" fontId="2" fillId="7" borderId="0" xfId="64" applyFont="1" applyFill="1" applyAlignment="1">
      <alignment horizontal="left" vertical="center" wrapText="1"/>
    </xf>
    <xf numFmtId="167" fontId="3" fillId="7" borderId="0" xfId="64" applyNumberFormat="1" applyFill="1" applyAlignment="1">
      <alignment horizontal="center" vertical="center"/>
    </xf>
    <xf numFmtId="0" fontId="3" fillId="7" borderId="0" xfId="64" applyFill="1" applyAlignment="1">
      <alignment horizontal="center" vertical="center"/>
    </xf>
    <xf numFmtId="2" fontId="3" fillId="7" borderId="0" xfId="64" applyNumberFormat="1" applyFill="1" applyAlignment="1">
      <alignment horizontal="center" vertical="center"/>
    </xf>
    <xf numFmtId="167" fontId="3" fillId="7" borderId="0" xfId="64" applyNumberFormat="1" applyFill="1" applyAlignment="1">
      <alignment horizontal="center" vertical="center" wrapText="1"/>
    </xf>
    <xf numFmtId="0" fontId="3" fillId="7" borderId="0" xfId="64" applyFill="1" applyAlignment="1">
      <alignment horizontal="left" vertical="center"/>
    </xf>
    <xf numFmtId="0" fontId="2" fillId="7" borderId="0" xfId="64" applyFont="1" applyFill="1" applyAlignment="1">
      <alignment horizontal="left" vertical="center"/>
    </xf>
    <xf numFmtId="0" fontId="3" fillId="7" borderId="0" xfId="64" applyFill="1" applyAlignment="1">
      <alignment horizontal="left" vertical="center" wrapText="1"/>
    </xf>
    <xf numFmtId="0" fontId="17" fillId="7" borderId="32" xfId="0" applyFont="1" applyFill="1" applyBorder="1"/>
    <xf numFmtId="0" fontId="17" fillId="7" borderId="32" xfId="0" applyFont="1" applyFill="1" applyBorder="1" applyAlignment="1">
      <alignment horizontal="center" wrapText="1"/>
    </xf>
    <xf numFmtId="0" fontId="17" fillId="7" borderId="32" xfId="35" applyFont="1" applyFill="1" applyBorder="1" applyAlignment="1">
      <alignment horizontal="center" wrapText="1"/>
    </xf>
    <xf numFmtId="174" fontId="3" fillId="7" borderId="0" xfId="64" applyNumberFormat="1" applyFill="1" applyAlignment="1">
      <alignment horizontal="right"/>
    </xf>
    <xf numFmtId="175" fontId="3" fillId="7" borderId="0" xfId="64" applyNumberFormat="1" applyFill="1" applyAlignment="1">
      <alignment horizontal="right"/>
    </xf>
    <xf numFmtId="174" fontId="2" fillId="7" borderId="15" xfId="64" applyNumberFormat="1" applyFont="1" applyFill="1" applyBorder="1" applyAlignment="1">
      <alignment horizontal="right"/>
    </xf>
    <xf numFmtId="170" fontId="2" fillId="4" borderId="25" xfId="64" applyNumberFormat="1" applyFont="1" applyFill="1" applyBorder="1" applyAlignment="1">
      <alignment horizontal="center" vertical="center"/>
    </xf>
    <xf numFmtId="170" fontId="2" fillId="3" borderId="21" xfId="64" applyNumberFormat="1" applyFont="1" applyFill="1" applyBorder="1" applyAlignment="1">
      <alignment horizontal="center" vertical="center"/>
    </xf>
    <xf numFmtId="0" fontId="4" fillId="2" borderId="4" xfId="64" applyFont="1" applyFill="1" applyBorder="1" applyAlignment="1">
      <alignment horizontal="center" vertical="center"/>
    </xf>
    <xf numFmtId="0" fontId="4" fillId="2" borderId="1" xfId="64" applyFont="1" applyFill="1" applyBorder="1" applyAlignment="1">
      <alignment horizontal="center" vertical="center"/>
    </xf>
    <xf numFmtId="175" fontId="4" fillId="2" borderId="4" xfId="64" applyNumberFormat="1" applyFont="1" applyFill="1" applyBorder="1" applyAlignment="1">
      <alignment horizontal="center" vertical="center"/>
    </xf>
    <xf numFmtId="175" fontId="4" fillId="0" borderId="20" xfId="64" applyNumberFormat="1" applyFont="1" applyBorder="1" applyAlignment="1">
      <alignment horizontal="center" vertical="center"/>
    </xf>
    <xf numFmtId="0" fontId="4" fillId="0" borderId="20" xfId="64" applyFont="1" applyBorder="1" applyAlignment="1">
      <alignment horizontal="center" vertical="center"/>
    </xf>
    <xf numFmtId="167" fontId="4" fillId="7" borderId="0" xfId="64" applyNumberFormat="1" applyFont="1" applyFill="1" applyAlignment="1" applyProtection="1">
      <alignment horizontal="center"/>
      <protection locked="0"/>
    </xf>
    <xf numFmtId="170" fontId="4" fillId="0" borderId="10" xfId="64" applyNumberFormat="1" applyFont="1" applyBorder="1" applyAlignment="1">
      <alignment horizontal="center" vertical="center"/>
    </xf>
    <xf numFmtId="172" fontId="4" fillId="2" borderId="4" xfId="64" applyNumberFormat="1" applyFont="1" applyFill="1" applyBorder="1" applyAlignment="1">
      <alignment horizontal="center" vertical="center"/>
    </xf>
    <xf numFmtId="172" fontId="4" fillId="0" borderId="20" xfId="64" applyNumberFormat="1" applyFont="1" applyBorder="1" applyAlignment="1">
      <alignment horizontal="center" vertical="center"/>
    </xf>
    <xf numFmtId="0" fontId="25" fillId="8" borderId="1" xfId="30" applyFont="1" applyFill="1" applyBorder="1" applyAlignment="1" applyProtection="1">
      <alignment wrapText="1"/>
      <protection hidden="1"/>
    </xf>
    <xf numFmtId="0" fontId="26" fillId="0" borderId="0" xfId="46" applyFont="1"/>
    <xf numFmtId="167" fontId="26" fillId="0" borderId="0" xfId="46" applyNumberFormat="1" applyFont="1"/>
    <xf numFmtId="175" fontId="27" fillId="2" borderId="42" xfId="0" applyNumberFormat="1" applyFont="1" applyFill="1" applyBorder="1"/>
    <xf numFmtId="175" fontId="27" fillId="2" borderId="41" xfId="0" applyNumberFormat="1" applyFont="1" applyFill="1" applyBorder="1"/>
    <xf numFmtId="0" fontId="28" fillId="2" borderId="16" xfId="30" applyFont="1" applyFill="1" applyBorder="1" applyAlignment="1">
      <alignment vertical="center"/>
    </xf>
    <xf numFmtId="0" fontId="29" fillId="2" borderId="11" xfId="30" applyFont="1" applyFill="1" applyBorder="1" applyAlignment="1">
      <alignment vertical="center"/>
    </xf>
    <xf numFmtId="0" fontId="29" fillId="2" borderId="7" xfId="30" applyFont="1" applyFill="1" applyBorder="1" applyAlignment="1">
      <alignment vertical="center"/>
    </xf>
    <xf numFmtId="0" fontId="28" fillId="8" borderId="1" xfId="0" applyFont="1" applyFill="1" applyBorder="1" applyProtection="1">
      <protection hidden="1"/>
    </xf>
    <xf numFmtId="0" fontId="28" fillId="8" borderId="3" xfId="0" applyFont="1" applyFill="1" applyBorder="1" applyProtection="1">
      <protection hidden="1"/>
    </xf>
    <xf numFmtId="0" fontId="29" fillId="0" borderId="0" xfId="0" applyFont="1" applyProtection="1">
      <protection hidden="1"/>
    </xf>
    <xf numFmtId="0" fontId="28" fillId="0" borderId="7" xfId="0" applyFont="1" applyBorder="1" applyAlignment="1" applyProtection="1">
      <alignment horizontal="left"/>
      <protection hidden="1"/>
    </xf>
    <xf numFmtId="0" fontId="28" fillId="0" borderId="5" xfId="0" applyFont="1" applyBorder="1" applyAlignment="1" applyProtection="1">
      <alignment horizontal="left"/>
      <protection hidden="1"/>
    </xf>
    <xf numFmtId="0" fontId="29" fillId="0" borderId="5" xfId="0" applyFont="1" applyBorder="1" applyProtection="1">
      <protection hidden="1"/>
    </xf>
    <xf numFmtId="0" fontId="29" fillId="0" borderId="2" xfId="0" applyFont="1" applyBorder="1" applyProtection="1">
      <protection hidden="1"/>
    </xf>
    <xf numFmtId="0" fontId="28" fillId="9" borderId="1" xfId="0" applyFont="1" applyFill="1" applyBorder="1" applyProtection="1">
      <protection hidden="1"/>
    </xf>
    <xf numFmtId="167" fontId="28" fillId="9" borderId="1" xfId="0" applyNumberFormat="1" applyFont="1" applyFill="1" applyBorder="1" applyAlignment="1" applyProtection="1">
      <alignment horizontal="left"/>
      <protection hidden="1"/>
    </xf>
    <xf numFmtId="0" fontId="29" fillId="9" borderId="1" xfId="0" applyFont="1" applyFill="1" applyBorder="1" applyProtection="1">
      <protection hidden="1"/>
    </xf>
    <xf numFmtId="0" fontId="29" fillId="9" borderId="3" xfId="0" applyFont="1" applyFill="1" applyBorder="1" applyProtection="1">
      <protection hidden="1"/>
    </xf>
    <xf numFmtId="0" fontId="28" fillId="0" borderId="10" xfId="0" applyFont="1" applyBorder="1" applyAlignment="1" applyProtection="1">
      <alignment horizontal="left"/>
      <protection hidden="1"/>
    </xf>
    <xf numFmtId="0" fontId="28" fillId="0" borderId="1" xfId="0" applyFont="1" applyBorder="1" applyAlignment="1" applyProtection="1">
      <alignment horizontal="left"/>
      <protection hidden="1"/>
    </xf>
    <xf numFmtId="0" fontId="28" fillId="0" borderId="1" xfId="0" applyFont="1" applyBorder="1" applyAlignment="1" applyProtection="1">
      <alignment horizontal="centerContinuous"/>
      <protection hidden="1"/>
    </xf>
    <xf numFmtId="0" fontId="29" fillId="0" borderId="1" xfId="0" applyFont="1" applyBorder="1" applyAlignment="1" applyProtection="1">
      <alignment horizontal="centerContinuous"/>
      <protection hidden="1"/>
    </xf>
    <xf numFmtId="0" fontId="31" fillId="0" borderId="1" xfId="0" applyFont="1" applyBorder="1" applyProtection="1">
      <protection hidden="1"/>
    </xf>
    <xf numFmtId="0" fontId="29" fillId="0" borderId="3" xfId="0" applyFont="1" applyBorder="1" applyProtection="1">
      <protection hidden="1"/>
    </xf>
    <xf numFmtId="0" fontId="28" fillId="0" borderId="10" xfId="30" applyFont="1" applyBorder="1" applyAlignment="1" applyProtection="1">
      <alignment horizontal="left"/>
      <protection hidden="1"/>
    </xf>
    <xf numFmtId="171" fontId="28" fillId="2" borderId="4" xfId="0" applyNumberFormat="1" applyFont="1" applyFill="1" applyBorder="1" applyProtection="1">
      <protection hidden="1"/>
    </xf>
    <xf numFmtId="171" fontId="28" fillId="0" borderId="0" xfId="0" applyNumberFormat="1" applyFont="1" applyProtection="1">
      <protection hidden="1"/>
    </xf>
    <xf numFmtId="0" fontId="28" fillId="9" borderId="10" xfId="30" applyFont="1" applyFill="1" applyBorder="1" applyAlignment="1" applyProtection="1">
      <alignment horizontal="left"/>
      <protection hidden="1"/>
    </xf>
    <xf numFmtId="0" fontId="28" fillId="9" borderId="1" xfId="0" applyFont="1" applyFill="1" applyBorder="1" applyAlignment="1" applyProtection="1">
      <alignment horizontal="left"/>
      <protection hidden="1"/>
    </xf>
    <xf numFmtId="168" fontId="28" fillId="9" borderId="3" xfId="0" applyNumberFormat="1" applyFont="1" applyFill="1" applyBorder="1" applyAlignment="1" applyProtection="1">
      <alignment horizontal="left"/>
      <protection hidden="1"/>
    </xf>
    <xf numFmtId="167" fontId="28" fillId="9" borderId="4" xfId="0" applyNumberFormat="1" applyFont="1" applyFill="1" applyBorder="1" applyAlignment="1" applyProtection="1">
      <alignment horizontal="right"/>
      <protection hidden="1"/>
    </xf>
    <xf numFmtId="167" fontId="28" fillId="0" borderId="0" xfId="0" applyNumberFormat="1" applyFont="1" applyAlignment="1" applyProtection="1">
      <alignment horizontal="right"/>
      <protection hidden="1"/>
    </xf>
    <xf numFmtId="0" fontId="28" fillId="0" borderId="11" xfId="0" applyFont="1" applyBorder="1" applyAlignment="1" applyProtection="1">
      <alignment horizontal="left"/>
      <protection hidden="1"/>
    </xf>
    <xf numFmtId="0" fontId="28" fillId="0" borderId="0" xfId="0" applyFont="1" applyAlignment="1" applyProtection="1">
      <alignment horizontal="left"/>
      <protection hidden="1"/>
    </xf>
    <xf numFmtId="169" fontId="28" fillId="2" borderId="4" xfId="0" applyNumberFormat="1" applyFont="1" applyFill="1" applyBorder="1" applyAlignment="1" applyProtection="1">
      <alignment horizontal="right"/>
      <protection hidden="1"/>
    </xf>
    <xf numFmtId="0" fontId="29" fillId="8" borderId="4" xfId="0" applyFont="1" applyFill="1" applyBorder="1" applyProtection="1">
      <protection hidden="1"/>
    </xf>
    <xf numFmtId="0" fontId="28" fillId="0" borderId="13" xfId="30" applyFont="1" applyBorder="1" applyAlignment="1" applyProtection="1">
      <alignment horizontal="left"/>
      <protection hidden="1"/>
    </xf>
    <xf numFmtId="0" fontId="28" fillId="0" borderId="14" xfId="30" applyFont="1" applyBorder="1" applyAlignment="1" applyProtection="1">
      <alignment horizontal="left"/>
      <protection hidden="1"/>
    </xf>
    <xf numFmtId="167" fontId="29" fillId="0" borderId="0" xfId="0" applyNumberFormat="1" applyFont="1" applyProtection="1">
      <protection hidden="1"/>
    </xf>
    <xf numFmtId="0" fontId="28" fillId="0" borderId="12" xfId="30" applyFont="1" applyBorder="1" applyAlignment="1" applyProtection="1">
      <alignment horizontal="left"/>
      <protection hidden="1"/>
    </xf>
    <xf numFmtId="0" fontId="28" fillId="0" borderId="15" xfId="30" applyFont="1" applyBorder="1" applyAlignment="1" applyProtection="1">
      <alignment horizontal="left"/>
      <protection hidden="1"/>
    </xf>
    <xf numFmtId="167" fontId="28" fillId="0" borderId="0" xfId="0" applyNumberFormat="1" applyFont="1" applyProtection="1">
      <protection hidden="1"/>
    </xf>
    <xf numFmtId="167" fontId="28" fillId="9" borderId="4" xfId="0" applyNumberFormat="1" applyFont="1" applyFill="1" applyBorder="1" applyProtection="1">
      <protection hidden="1"/>
    </xf>
    <xf numFmtId="0" fontId="28" fillId="2" borderId="11" xfId="30" applyFont="1" applyFill="1" applyBorder="1" applyAlignment="1" applyProtection="1">
      <alignment horizontal="left"/>
      <protection hidden="1"/>
    </xf>
    <xf numFmtId="0" fontId="28" fillId="2" borderId="0" xfId="30" applyFont="1" applyFill="1" applyAlignment="1" applyProtection="1">
      <alignment horizontal="left"/>
      <protection hidden="1"/>
    </xf>
    <xf numFmtId="167" fontId="28" fillId="2" borderId="6" xfId="0" applyNumberFormat="1" applyFont="1" applyFill="1" applyBorder="1" applyProtection="1">
      <protection hidden="1"/>
    </xf>
    <xf numFmtId="0" fontId="28" fillId="0" borderId="11" xfId="30" applyFont="1" applyBorder="1" applyAlignment="1" applyProtection="1">
      <alignment horizontal="left"/>
      <protection hidden="1"/>
    </xf>
    <xf numFmtId="0" fontId="28" fillId="0" borderId="0" xfId="30" applyFont="1" applyAlignment="1" applyProtection="1">
      <alignment horizontal="left"/>
      <protection hidden="1"/>
    </xf>
    <xf numFmtId="167" fontId="28" fillId="0" borderId="6" xfId="0" applyNumberFormat="1" applyFont="1" applyBorder="1" applyProtection="1">
      <protection hidden="1"/>
    </xf>
    <xf numFmtId="0" fontId="28" fillId="9" borderId="10" xfId="0" applyFont="1" applyFill="1" applyBorder="1" applyAlignment="1" applyProtection="1">
      <alignment horizontal="left"/>
      <protection hidden="1"/>
    </xf>
    <xf numFmtId="167" fontId="25" fillId="8" borderId="4" xfId="0" applyNumberFormat="1" applyFont="1" applyFill="1" applyBorder="1" applyProtection="1">
      <protection hidden="1"/>
    </xf>
    <xf numFmtId="0" fontId="25" fillId="8" borderId="1" xfId="0" applyFont="1" applyFill="1" applyBorder="1" applyAlignment="1" applyProtection="1">
      <alignment horizontal="left"/>
      <protection hidden="1"/>
    </xf>
    <xf numFmtId="0" fontId="30" fillId="8" borderId="3" xfId="0" applyFont="1" applyFill="1" applyBorder="1" applyProtection="1">
      <protection hidden="1"/>
    </xf>
    <xf numFmtId="0" fontId="29" fillId="0" borderId="0" xfId="0" applyFont="1"/>
    <xf numFmtId="0" fontId="29" fillId="2" borderId="17" xfId="30" applyFont="1" applyFill="1" applyBorder="1" applyProtection="1">
      <protection hidden="1"/>
    </xf>
    <xf numFmtId="0" fontId="29" fillId="2" borderId="18" xfId="30" applyFont="1" applyFill="1" applyBorder="1" applyProtection="1">
      <protection hidden="1"/>
    </xf>
    <xf numFmtId="0" fontId="29" fillId="0" borderId="0" xfId="30" applyFont="1"/>
    <xf numFmtId="0" fontId="29" fillId="2" borderId="0" xfId="30" applyFont="1" applyFill="1" applyProtection="1">
      <protection hidden="1"/>
    </xf>
    <xf numFmtId="0" fontId="29" fillId="2" borderId="19" xfId="30" applyFont="1" applyFill="1" applyBorder="1" applyProtection="1">
      <protection hidden="1"/>
    </xf>
    <xf numFmtId="0" fontId="29" fillId="2" borderId="5" xfId="30" applyFont="1" applyFill="1" applyBorder="1" applyProtection="1">
      <protection hidden="1"/>
    </xf>
    <xf numFmtId="0" fontId="29" fillId="2" borderId="2" xfId="30" applyFont="1" applyFill="1" applyBorder="1" applyProtection="1">
      <protection hidden="1"/>
    </xf>
    <xf numFmtId="179" fontId="28" fillId="9" borderId="4" xfId="0" applyNumberFormat="1" applyFont="1" applyFill="1" applyBorder="1" applyAlignment="1" applyProtection="1">
      <alignment horizontal="right"/>
      <protection hidden="1"/>
    </xf>
    <xf numFmtId="179" fontId="28" fillId="2" borderId="4" xfId="0" applyNumberFormat="1" applyFont="1" applyFill="1" applyBorder="1" applyAlignment="1" applyProtection="1">
      <alignment horizontal="right"/>
      <protection hidden="1"/>
    </xf>
    <xf numFmtId="179" fontId="29" fillId="8" borderId="4" xfId="0" applyNumberFormat="1" applyFont="1" applyFill="1" applyBorder="1" applyProtection="1">
      <protection hidden="1"/>
    </xf>
    <xf numFmtId="179" fontId="28" fillId="0" borderId="8" xfId="34" applyNumberFormat="1" applyFont="1" applyBorder="1" applyProtection="1">
      <protection hidden="1"/>
    </xf>
    <xf numFmtId="179" fontId="28" fillId="0" borderId="9" xfId="34" applyNumberFormat="1" applyFont="1" applyBorder="1" applyProtection="1">
      <protection hidden="1"/>
    </xf>
    <xf numFmtId="179" fontId="28" fillId="9" borderId="4" xfId="0" applyNumberFormat="1" applyFont="1" applyFill="1" applyBorder="1" applyProtection="1">
      <protection hidden="1"/>
    </xf>
    <xf numFmtId="179" fontId="28" fillId="2" borderId="6" xfId="0" applyNumberFormat="1" applyFont="1" applyFill="1" applyBorder="1" applyProtection="1">
      <protection hidden="1"/>
    </xf>
    <xf numFmtId="179" fontId="28" fillId="9" borderId="4" xfId="34" applyNumberFormat="1" applyFont="1" applyFill="1" applyBorder="1" applyProtection="1">
      <protection hidden="1"/>
    </xf>
    <xf numFmtId="179" fontId="28" fillId="9" borderId="4" xfId="30" applyNumberFormat="1" applyFont="1" applyFill="1" applyBorder="1" applyProtection="1">
      <protection hidden="1"/>
    </xf>
    <xf numFmtId="179" fontId="28" fillId="0" borderId="6" xfId="0" applyNumberFormat="1" applyFont="1" applyBorder="1" applyProtection="1">
      <protection hidden="1"/>
    </xf>
    <xf numFmtId="179" fontId="25" fillId="8" borderId="4" xfId="0" applyNumberFormat="1" applyFont="1" applyFill="1" applyBorder="1" applyProtection="1">
      <protection hidden="1"/>
    </xf>
    <xf numFmtId="179" fontId="29" fillId="0" borderId="0" xfId="0" applyNumberFormat="1" applyFont="1" applyProtection="1">
      <protection hidden="1"/>
    </xf>
    <xf numFmtId="179" fontId="27" fillId="2" borderId="42" xfId="0" applyNumberFormat="1" applyFont="1" applyFill="1" applyBorder="1"/>
    <xf numFmtId="179" fontId="27" fillId="2" borderId="14" xfId="0" applyNumberFormat="1" applyFont="1" applyFill="1" applyBorder="1"/>
    <xf numFmtId="179" fontId="27" fillId="2" borderId="43" xfId="0" applyNumberFormat="1" applyFont="1" applyFill="1" applyBorder="1"/>
    <xf numFmtId="179" fontId="27" fillId="2" borderId="41" xfId="0" applyNumberFormat="1" applyFont="1" applyFill="1" applyBorder="1"/>
    <xf numFmtId="179" fontId="27" fillId="2" borderId="5" xfId="0" applyNumberFormat="1" applyFont="1" applyFill="1" applyBorder="1"/>
    <xf numFmtId="179" fontId="27" fillId="2" borderId="2" xfId="0" applyNumberFormat="1" applyFont="1" applyFill="1" applyBorder="1"/>
    <xf numFmtId="0" fontId="25" fillId="8" borderId="10" xfId="0" applyFont="1" applyFill="1" applyBorder="1" applyAlignment="1" applyProtection="1">
      <alignment horizontal="left"/>
      <protection hidden="1"/>
    </xf>
    <xf numFmtId="179" fontId="28" fillId="9" borderId="1" xfId="0" applyNumberFormat="1" applyFont="1" applyFill="1" applyBorder="1" applyAlignment="1" applyProtection="1">
      <alignment horizontal="left"/>
      <protection hidden="1"/>
    </xf>
    <xf numFmtId="0" fontId="25" fillId="8" borderId="1" xfId="0" applyFont="1" applyFill="1" applyBorder="1" applyProtection="1">
      <protection hidden="1"/>
    </xf>
    <xf numFmtId="171" fontId="28" fillId="2" borderId="4" xfId="34" applyNumberFormat="1" applyFont="1" applyFill="1" applyBorder="1" applyProtection="1">
      <protection hidden="1"/>
    </xf>
    <xf numFmtId="165" fontId="28" fillId="0" borderId="0" xfId="0" applyNumberFormat="1" applyFont="1" applyProtection="1">
      <protection hidden="1"/>
    </xf>
    <xf numFmtId="169" fontId="28" fillId="0" borderId="0" xfId="0" applyNumberFormat="1" applyFont="1" applyAlignment="1" applyProtection="1">
      <alignment horizontal="right"/>
      <protection hidden="1"/>
    </xf>
    <xf numFmtId="0" fontId="25" fillId="8" borderId="10" xfId="30" applyFont="1" applyFill="1" applyBorder="1" applyAlignment="1" applyProtection="1">
      <alignment horizontal="left" vertical="center"/>
      <protection hidden="1"/>
    </xf>
    <xf numFmtId="0" fontId="29" fillId="0" borderId="0" xfId="0" applyFont="1" applyAlignment="1" applyProtection="1">
      <alignment vertical="center"/>
      <protection hidden="1"/>
    </xf>
    <xf numFmtId="179" fontId="27" fillId="2" borderId="13" xfId="0" applyNumberFormat="1" applyFont="1" applyFill="1" applyBorder="1" applyAlignment="1">
      <alignment horizontal="center"/>
    </xf>
    <xf numFmtId="179" fontId="27" fillId="2" borderId="7" xfId="0" applyNumberFormat="1" applyFont="1" applyFill="1" applyBorder="1" applyAlignment="1">
      <alignment horizontal="center"/>
    </xf>
    <xf numFmtId="0" fontId="29" fillId="0" borderId="5" xfId="0" applyFont="1" applyBorder="1" applyAlignment="1" applyProtection="1">
      <alignment horizontal="center"/>
      <protection hidden="1"/>
    </xf>
    <xf numFmtId="0" fontId="28" fillId="9" borderId="3" xfId="30" applyFont="1" applyFill="1" applyBorder="1" applyAlignment="1" applyProtection="1">
      <alignment horizontal="left" vertical="center"/>
      <protection hidden="1"/>
    </xf>
    <xf numFmtId="0" fontId="29" fillId="9" borderId="3" xfId="30" applyFont="1" applyFill="1" applyBorder="1" applyProtection="1">
      <protection hidden="1"/>
    </xf>
    <xf numFmtId="0" fontId="28" fillId="9" borderId="1" xfId="30" applyFont="1" applyFill="1" applyBorder="1" applyAlignment="1" applyProtection="1">
      <alignment horizontal="center" vertical="center" wrapText="1"/>
      <protection hidden="1"/>
    </xf>
    <xf numFmtId="0" fontId="29" fillId="0" borderId="0" xfId="30" applyFont="1" applyProtection="1">
      <protection hidden="1"/>
    </xf>
    <xf numFmtId="0" fontId="28" fillId="0" borderId="24" xfId="30" applyFont="1" applyBorder="1" applyAlignment="1" applyProtection="1">
      <alignment horizontal="left"/>
      <protection locked="0"/>
    </xf>
    <xf numFmtId="0" fontId="28" fillId="0" borderId="25" xfId="30" applyFont="1" applyBorder="1" applyAlignment="1" applyProtection="1">
      <alignment horizontal="left"/>
      <protection hidden="1"/>
    </xf>
    <xf numFmtId="179" fontId="28" fillId="0" borderId="37" xfId="30" applyNumberFormat="1" applyFont="1" applyBorder="1" applyAlignment="1" applyProtection="1">
      <alignment horizontal="center"/>
      <protection hidden="1"/>
    </xf>
    <xf numFmtId="10" fontId="31" fillId="0" borderId="9" xfId="30" applyNumberFormat="1" applyFont="1" applyBorder="1" applyAlignment="1" applyProtection="1">
      <alignment horizontal="center"/>
      <protection locked="0"/>
    </xf>
    <xf numFmtId="0" fontId="28" fillId="0" borderId="24" xfId="0" applyFont="1" applyBorder="1" applyAlignment="1" applyProtection="1">
      <alignment horizontal="left"/>
      <protection locked="0"/>
    </xf>
    <xf numFmtId="0" fontId="28" fillId="0" borderId="30" xfId="0" applyFont="1" applyBorder="1" applyAlignment="1" applyProtection="1">
      <alignment horizontal="left"/>
      <protection locked="0"/>
    </xf>
    <xf numFmtId="0" fontId="28" fillId="0" borderId="31" xfId="30" applyFont="1" applyBorder="1" applyAlignment="1" applyProtection="1">
      <alignment horizontal="left"/>
      <protection hidden="1"/>
    </xf>
    <xf numFmtId="10" fontId="31" fillId="0" borderId="51" xfId="30" applyNumberFormat="1" applyFont="1" applyBorder="1" applyAlignment="1" applyProtection="1">
      <alignment horizontal="center"/>
      <protection locked="0"/>
    </xf>
    <xf numFmtId="179" fontId="28" fillId="9" borderId="1" xfId="30" applyNumberFormat="1" applyFont="1" applyFill="1" applyBorder="1" applyAlignment="1" applyProtection="1">
      <alignment horizontal="center"/>
      <protection hidden="1"/>
    </xf>
    <xf numFmtId="0" fontId="28" fillId="9" borderId="4" xfId="30" applyFont="1" applyFill="1" applyBorder="1" applyProtection="1">
      <protection hidden="1"/>
    </xf>
    <xf numFmtId="0" fontId="28" fillId="0" borderId="1" xfId="30" applyFont="1" applyBorder="1" applyAlignment="1" applyProtection="1">
      <alignment horizontal="left"/>
      <protection hidden="1"/>
    </xf>
    <xf numFmtId="179" fontId="28" fillId="0" borderId="1" xfId="0" applyNumberFormat="1" applyFont="1" applyBorder="1" applyAlignment="1" applyProtection="1">
      <alignment horizontal="center"/>
      <protection hidden="1"/>
    </xf>
    <xf numFmtId="0" fontId="29" fillId="0" borderId="4" xfId="0" applyFont="1" applyBorder="1" applyAlignment="1" applyProtection="1">
      <alignment horizontal="center"/>
      <protection hidden="1"/>
    </xf>
    <xf numFmtId="179" fontId="28" fillId="2" borderId="10" xfId="0" applyNumberFormat="1" applyFont="1" applyFill="1" applyBorder="1" applyAlignment="1" applyProtection="1">
      <alignment horizontal="center"/>
      <protection hidden="1"/>
    </xf>
    <xf numFmtId="0" fontId="28" fillId="9" borderId="1" xfId="30" applyFont="1" applyFill="1" applyBorder="1" applyAlignment="1" applyProtection="1">
      <alignment horizontal="left"/>
      <protection hidden="1"/>
    </xf>
    <xf numFmtId="168" fontId="28" fillId="9" borderId="3" xfId="30" applyNumberFormat="1" applyFont="1" applyFill="1" applyBorder="1" applyAlignment="1" applyProtection="1">
      <alignment horizontal="left"/>
      <protection hidden="1"/>
    </xf>
    <xf numFmtId="179" fontId="28" fillId="9" borderId="10" xfId="0" applyNumberFormat="1" applyFont="1" applyFill="1" applyBorder="1" applyAlignment="1" applyProtection="1">
      <alignment horizontal="center"/>
      <protection hidden="1"/>
    </xf>
    <xf numFmtId="179" fontId="29" fillId="8" borderId="10" xfId="0" applyNumberFormat="1" applyFont="1" applyFill="1" applyBorder="1" applyAlignment="1" applyProtection="1">
      <alignment horizontal="center"/>
      <protection hidden="1"/>
    </xf>
    <xf numFmtId="179" fontId="28" fillId="0" borderId="48" xfId="34" applyNumberFormat="1" applyFont="1" applyBorder="1" applyAlignment="1" applyProtection="1">
      <alignment horizontal="center"/>
      <protection hidden="1"/>
    </xf>
    <xf numFmtId="167" fontId="28" fillId="0" borderId="8" xfId="0" applyNumberFormat="1" applyFont="1" applyBorder="1" applyProtection="1">
      <protection hidden="1"/>
    </xf>
    <xf numFmtId="179" fontId="28" fillId="0" borderId="12" xfId="34" applyNumberFormat="1" applyFont="1" applyBorder="1" applyAlignment="1" applyProtection="1">
      <alignment horizontal="center"/>
      <protection hidden="1"/>
    </xf>
    <xf numFmtId="167" fontId="28" fillId="0" borderId="9" xfId="0" applyNumberFormat="1" applyFont="1" applyBorder="1" applyProtection="1">
      <protection hidden="1"/>
    </xf>
    <xf numFmtId="167" fontId="32" fillId="9" borderId="4" xfId="0" applyNumberFormat="1" applyFont="1" applyFill="1" applyBorder="1" applyProtection="1">
      <protection hidden="1"/>
    </xf>
    <xf numFmtId="179" fontId="28" fillId="2" borderId="11" xfId="0" applyNumberFormat="1" applyFont="1" applyFill="1" applyBorder="1" applyAlignment="1" applyProtection="1">
      <alignment horizontal="center"/>
      <protection hidden="1"/>
    </xf>
    <xf numFmtId="179" fontId="28" fillId="9" borderId="10" xfId="34" applyNumberFormat="1" applyFont="1" applyFill="1" applyBorder="1" applyAlignment="1" applyProtection="1">
      <alignment horizontal="center"/>
      <protection hidden="1"/>
    </xf>
    <xf numFmtId="179" fontId="28" fillId="0" borderId="11" xfId="0" applyNumberFormat="1" applyFont="1" applyBorder="1" applyAlignment="1" applyProtection="1">
      <alignment horizontal="center"/>
      <protection hidden="1"/>
    </xf>
    <xf numFmtId="179" fontId="25" fillId="8" borderId="10" xfId="0" applyNumberFormat="1" applyFont="1" applyFill="1" applyBorder="1" applyAlignment="1" applyProtection="1">
      <alignment horizontal="center"/>
      <protection hidden="1"/>
    </xf>
    <xf numFmtId="0" fontId="25" fillId="8" borderId="10" xfId="30" applyFont="1" applyFill="1" applyBorder="1" applyAlignment="1" applyProtection="1">
      <alignment horizontal="left"/>
      <protection hidden="1"/>
    </xf>
    <xf numFmtId="0" fontId="25" fillId="8" borderId="1" xfId="30" applyFont="1" applyFill="1" applyBorder="1" applyAlignment="1" applyProtection="1">
      <alignment horizontal="left"/>
      <protection hidden="1"/>
    </xf>
    <xf numFmtId="0" fontId="30" fillId="8" borderId="3" xfId="30" applyFont="1" applyFill="1" applyBorder="1" applyProtection="1">
      <protection hidden="1"/>
    </xf>
    <xf numFmtId="179" fontId="29" fillId="0" borderId="0" xfId="0" applyNumberFormat="1" applyFont="1" applyAlignment="1" applyProtection="1">
      <alignment horizontal="center"/>
      <protection hidden="1"/>
    </xf>
    <xf numFmtId="0" fontId="29" fillId="0" borderId="6" xfId="0" applyFont="1" applyBorder="1" applyProtection="1">
      <protection hidden="1"/>
    </xf>
    <xf numFmtId="0" fontId="29" fillId="2" borderId="17" xfId="30" applyFont="1" applyFill="1" applyBorder="1" applyAlignment="1" applyProtection="1">
      <alignment horizontal="center"/>
      <protection hidden="1"/>
    </xf>
    <xf numFmtId="0" fontId="29" fillId="2" borderId="0" xfId="30" applyFont="1" applyFill="1" applyAlignment="1" applyProtection="1">
      <alignment horizontal="center"/>
      <protection hidden="1"/>
    </xf>
    <xf numFmtId="0" fontId="29" fillId="2" borderId="5" xfId="30" applyFont="1" applyFill="1" applyBorder="1" applyAlignment="1" applyProtection="1">
      <alignment horizontal="center"/>
      <protection hidden="1"/>
    </xf>
    <xf numFmtId="0" fontId="29" fillId="0" borderId="0" xfId="0" applyFont="1" applyAlignment="1" applyProtection="1">
      <alignment horizontal="center"/>
      <protection hidden="1"/>
    </xf>
    <xf numFmtId="167" fontId="28" fillId="2" borderId="4" xfId="0" applyNumberFormat="1" applyFont="1" applyFill="1" applyBorder="1" applyProtection="1">
      <protection hidden="1"/>
    </xf>
    <xf numFmtId="179" fontId="25" fillId="8" borderId="4" xfId="0" applyNumberFormat="1" applyFont="1" applyFill="1" applyBorder="1" applyAlignment="1" applyProtection="1">
      <alignment vertical="center"/>
      <protection hidden="1"/>
    </xf>
    <xf numFmtId="0" fontId="25" fillId="8" borderId="1" xfId="30" applyFont="1" applyFill="1" applyBorder="1" applyAlignment="1" applyProtection="1">
      <alignment horizontal="left" vertical="center"/>
      <protection hidden="1"/>
    </xf>
    <xf numFmtId="0" fontId="30" fillId="8" borderId="3" xfId="30" applyFont="1" applyFill="1" applyBorder="1" applyAlignment="1" applyProtection="1">
      <alignment vertical="center"/>
      <protection hidden="1"/>
    </xf>
    <xf numFmtId="179" fontId="27" fillId="2" borderId="6" xfId="0" applyNumberFormat="1" applyFont="1" applyFill="1" applyBorder="1"/>
    <xf numFmtId="179" fontId="27" fillId="2" borderId="0" xfId="0" applyNumberFormat="1" applyFont="1" applyFill="1"/>
    <xf numFmtId="179" fontId="27" fillId="2" borderId="19" xfId="0" applyNumberFormat="1" applyFont="1" applyFill="1" applyBorder="1"/>
    <xf numFmtId="0" fontId="28" fillId="7" borderId="16" xfId="30" applyFont="1" applyFill="1" applyBorder="1" applyAlignment="1">
      <alignment vertical="center"/>
    </xf>
    <xf numFmtId="0" fontId="29" fillId="7" borderId="11" xfId="30" applyFont="1" applyFill="1" applyBorder="1" applyAlignment="1">
      <alignment vertical="center"/>
    </xf>
    <xf numFmtId="0" fontId="29" fillId="7" borderId="17" xfId="30" applyFont="1" applyFill="1" applyBorder="1" applyProtection="1">
      <protection hidden="1"/>
    </xf>
    <xf numFmtId="0" fontId="29" fillId="7" borderId="18" xfId="30" applyFont="1" applyFill="1" applyBorder="1"/>
    <xf numFmtId="0" fontId="29" fillId="7" borderId="0" xfId="30" applyFont="1" applyFill="1" applyProtection="1">
      <protection hidden="1"/>
    </xf>
    <xf numFmtId="0" fontId="29" fillId="7" borderId="19" xfId="30" applyFont="1" applyFill="1" applyBorder="1"/>
    <xf numFmtId="0" fontId="29" fillId="0" borderId="7" xfId="0" applyFont="1" applyBorder="1" applyProtection="1">
      <protection hidden="1"/>
    </xf>
    <xf numFmtId="0" fontId="29" fillId="7" borderId="19" xfId="0" applyFont="1" applyFill="1" applyBorder="1" applyProtection="1">
      <protection hidden="1"/>
    </xf>
    <xf numFmtId="0" fontId="29" fillId="7" borderId="2" xfId="0" applyFont="1" applyFill="1" applyBorder="1" applyProtection="1">
      <protection hidden="1"/>
    </xf>
    <xf numFmtId="2" fontId="28" fillId="2" borderId="10" xfId="0" applyNumberFormat="1" applyFont="1" applyFill="1" applyBorder="1" applyAlignment="1" applyProtection="1">
      <alignment horizontal="center"/>
      <protection hidden="1"/>
    </xf>
    <xf numFmtId="0" fontId="28" fillId="9" borderId="4" xfId="30" applyFont="1" applyFill="1" applyBorder="1" applyAlignment="1" applyProtection="1">
      <alignment horizontal="center" vertical="center"/>
      <protection hidden="1"/>
    </xf>
    <xf numFmtId="0" fontId="27" fillId="2" borderId="35" xfId="0" applyFont="1" applyFill="1" applyBorder="1" applyAlignment="1">
      <alignment wrapText="1"/>
    </xf>
    <xf numFmtId="0" fontId="25" fillId="8" borderId="13" xfId="0" applyFont="1" applyFill="1" applyBorder="1"/>
    <xf numFmtId="0" fontId="25" fillId="8" borderId="14" xfId="0" applyFont="1" applyFill="1" applyBorder="1" applyAlignment="1">
      <alignment horizontal="center" wrapText="1"/>
    </xf>
    <xf numFmtId="0" fontId="25" fillId="8" borderId="43" xfId="0" applyFont="1" applyFill="1" applyBorder="1" applyAlignment="1">
      <alignment horizontal="center" wrapText="1"/>
    </xf>
    <xf numFmtId="167" fontId="28" fillId="9" borderId="11" xfId="18" applyFont="1" applyFill="1" applyBorder="1" applyAlignment="1"/>
    <xf numFmtId="0" fontId="27" fillId="9" borderId="19" xfId="0" applyFont="1" applyFill="1" applyBorder="1" applyAlignment="1">
      <alignment horizontal="center"/>
    </xf>
    <xf numFmtId="0" fontId="27" fillId="2" borderId="11" xfId="0" applyFont="1" applyFill="1" applyBorder="1"/>
    <xf numFmtId="177" fontId="28" fillId="2" borderId="19" xfId="18" applyNumberFormat="1" applyFont="1" applyFill="1" applyBorder="1" applyAlignment="1">
      <alignment horizontal="center" vertical="center" wrapText="1"/>
    </xf>
    <xf numFmtId="167" fontId="28" fillId="2" borderId="0" xfId="18" applyFont="1" applyFill="1" applyBorder="1" applyAlignment="1">
      <alignment horizontal="center" vertical="center" wrapText="1"/>
    </xf>
    <xf numFmtId="177" fontId="28" fillId="2" borderId="0" xfId="18" applyNumberFormat="1" applyFont="1" applyFill="1" applyBorder="1" applyAlignment="1">
      <alignment horizontal="center" vertical="center" wrapText="1"/>
    </xf>
    <xf numFmtId="167" fontId="28" fillId="9" borderId="0" xfId="18" applyFont="1" applyFill="1" applyBorder="1" applyAlignment="1">
      <alignment horizontal="center" vertical="center" wrapText="1"/>
    </xf>
    <xf numFmtId="177" fontId="28" fillId="9" borderId="0" xfId="18" applyNumberFormat="1" applyFont="1" applyFill="1" applyBorder="1" applyAlignment="1">
      <alignment horizontal="center" vertical="center" wrapText="1"/>
    </xf>
    <xf numFmtId="177" fontId="28" fillId="9" borderId="19" xfId="18" applyNumberFormat="1" applyFont="1" applyFill="1" applyBorder="1" applyAlignment="1">
      <alignment horizontal="center" vertical="center" wrapText="1"/>
    </xf>
    <xf numFmtId="0" fontId="27" fillId="9" borderId="11" xfId="0" applyFont="1" applyFill="1" applyBorder="1"/>
    <xf numFmtId="180" fontId="28" fillId="9" borderId="0" xfId="18" applyNumberFormat="1" applyFont="1" applyFill="1" applyBorder="1" applyAlignment="1"/>
    <xf numFmtId="180" fontId="28" fillId="9" borderId="0" xfId="18" applyNumberFormat="1" applyFont="1" applyFill="1" applyBorder="1" applyAlignment="1">
      <alignment horizontal="center"/>
    </xf>
    <xf numFmtId="180" fontId="28" fillId="9" borderId="19" xfId="18" applyNumberFormat="1" applyFont="1" applyFill="1" applyBorder="1" applyAlignment="1">
      <alignment horizontal="center"/>
    </xf>
    <xf numFmtId="180" fontId="28" fillId="2" borderId="34" xfId="18" applyNumberFormat="1" applyFont="1" applyFill="1" applyBorder="1" applyAlignment="1"/>
    <xf numFmtId="180" fontId="28" fillId="2" borderId="34" xfId="18" applyNumberFormat="1" applyFont="1" applyFill="1" applyBorder="1" applyAlignment="1">
      <alignment horizontal="center"/>
    </xf>
    <xf numFmtId="180" fontId="28" fillId="2" borderId="46" xfId="18" applyNumberFormat="1" applyFont="1" applyFill="1" applyBorder="1" applyAlignment="1">
      <alignment horizontal="center"/>
    </xf>
    <xf numFmtId="180" fontId="28" fillId="2" borderId="0" xfId="18" applyNumberFormat="1" applyFont="1" applyFill="1" applyBorder="1" applyAlignment="1"/>
    <xf numFmtId="180" fontId="28" fillId="2" borderId="0" xfId="18" applyNumberFormat="1" applyFont="1" applyFill="1" applyBorder="1" applyAlignment="1">
      <alignment horizontal="center"/>
    </xf>
    <xf numFmtId="180" fontId="28" fillId="2" borderId="19" xfId="18" applyNumberFormat="1" applyFont="1" applyFill="1" applyBorder="1" applyAlignment="1">
      <alignment horizontal="center"/>
    </xf>
    <xf numFmtId="180" fontId="28" fillId="9" borderId="39" xfId="18" applyNumberFormat="1" applyFont="1" applyFill="1" applyBorder="1" applyAlignment="1"/>
    <xf numFmtId="180" fontId="28" fillId="9" borderId="39" xfId="18" applyNumberFormat="1" applyFont="1" applyFill="1" applyBorder="1" applyAlignment="1">
      <alignment horizontal="center"/>
    </xf>
    <xf numFmtId="180" fontId="28" fillId="9" borderId="47" xfId="18" applyNumberFormat="1" applyFont="1" applyFill="1" applyBorder="1" applyAlignment="1">
      <alignment horizontal="center"/>
    </xf>
    <xf numFmtId="167" fontId="28" fillId="2" borderId="11" xfId="18" applyFont="1" applyFill="1" applyBorder="1" applyAlignment="1"/>
    <xf numFmtId="180" fontId="28" fillId="2" borderId="34" xfId="18" applyNumberFormat="1" applyFont="1" applyFill="1" applyBorder="1" applyAlignment="1">
      <alignment horizontal="left"/>
    </xf>
    <xf numFmtId="180" fontId="28" fillId="2" borderId="46" xfId="18" applyNumberFormat="1" applyFont="1" applyFill="1" applyBorder="1" applyAlignment="1">
      <alignment horizontal="left"/>
    </xf>
    <xf numFmtId="0" fontId="27" fillId="2" borderId="48" xfId="0" applyFont="1" applyFill="1" applyBorder="1"/>
    <xf numFmtId="180" fontId="27" fillId="2" borderId="32" xfId="0" applyNumberFormat="1" applyFont="1" applyFill="1" applyBorder="1"/>
    <xf numFmtId="180" fontId="27" fillId="2" borderId="32" xfId="0" applyNumberFormat="1" applyFont="1" applyFill="1" applyBorder="1" applyAlignment="1">
      <alignment horizontal="left"/>
    </xf>
    <xf numFmtId="180" fontId="27" fillId="2" borderId="49" xfId="0" applyNumberFormat="1" applyFont="1" applyFill="1" applyBorder="1" applyAlignment="1">
      <alignment horizontal="left"/>
    </xf>
    <xf numFmtId="0" fontId="27" fillId="2" borderId="7" xfId="0" applyFont="1" applyFill="1" applyBorder="1"/>
    <xf numFmtId="180" fontId="27" fillId="2" borderId="5" xfId="0" applyNumberFormat="1" applyFont="1" applyFill="1" applyBorder="1"/>
    <xf numFmtId="180" fontId="27" fillId="2" borderId="5" xfId="0" applyNumberFormat="1" applyFont="1" applyFill="1" applyBorder="1" applyAlignment="1">
      <alignment horizontal="left"/>
    </xf>
    <xf numFmtId="180" fontId="27" fillId="2" borderId="2" xfId="0" applyNumberFormat="1" applyFont="1" applyFill="1" applyBorder="1" applyAlignment="1">
      <alignment horizontal="left"/>
    </xf>
    <xf numFmtId="0" fontId="27" fillId="5" borderId="33" xfId="0" applyFont="1" applyFill="1" applyBorder="1"/>
    <xf numFmtId="0" fontId="31" fillId="2" borderId="0" xfId="0" applyFont="1" applyFill="1"/>
    <xf numFmtId="0" fontId="31" fillId="0" borderId="0" xfId="0" applyFont="1"/>
    <xf numFmtId="0" fontId="28" fillId="0" borderId="25" xfId="0" applyFont="1" applyBorder="1"/>
    <xf numFmtId="176" fontId="28" fillId="2" borderId="11" xfId="18" applyNumberFormat="1" applyFont="1" applyFill="1" applyBorder="1" applyAlignment="1"/>
    <xf numFmtId="179" fontId="28" fillId="2" borderId="19" xfId="0" applyNumberFormat="1" applyFont="1" applyFill="1" applyBorder="1" applyAlignment="1">
      <alignment horizontal="center"/>
    </xf>
    <xf numFmtId="179" fontId="28" fillId="2" borderId="34" xfId="0" applyNumberFormat="1" applyFont="1" applyFill="1" applyBorder="1"/>
    <xf numFmtId="179" fontId="28" fillId="2" borderId="34" xfId="0" applyNumberFormat="1" applyFont="1" applyFill="1" applyBorder="1" applyAlignment="1">
      <alignment horizontal="center"/>
    </xf>
    <xf numFmtId="179" fontId="28" fillId="2" borderId="46" xfId="0" applyNumberFormat="1" applyFont="1" applyFill="1" applyBorder="1" applyAlignment="1">
      <alignment horizontal="center"/>
    </xf>
    <xf numFmtId="179" fontId="28" fillId="2" borderId="0" xfId="18" applyNumberFormat="1" applyFont="1" applyFill="1" applyBorder="1" applyAlignment="1">
      <alignment horizontal="center" vertical="center" wrapText="1"/>
    </xf>
    <xf numFmtId="179" fontId="28" fillId="2" borderId="19" xfId="18" applyNumberFormat="1" applyFont="1" applyFill="1" applyBorder="1" applyAlignment="1">
      <alignment horizontal="center" vertical="center" wrapText="1"/>
    </xf>
    <xf numFmtId="0" fontId="27" fillId="9" borderId="0" xfId="0" applyFont="1" applyFill="1"/>
    <xf numFmtId="0" fontId="27" fillId="9" borderId="0" xfId="0" applyFont="1" applyFill="1" applyAlignment="1">
      <alignment horizontal="center"/>
    </xf>
    <xf numFmtId="179" fontId="28" fillId="2" borderId="0" xfId="0" applyNumberFormat="1" applyFont="1" applyFill="1"/>
    <xf numFmtId="179" fontId="28" fillId="2" borderId="0" xfId="0" applyNumberFormat="1" applyFont="1" applyFill="1" applyAlignment="1">
      <alignment horizontal="center"/>
    </xf>
    <xf numFmtId="167" fontId="28" fillId="2" borderId="0" xfId="18" applyFont="1" applyFill="1" applyBorder="1" applyAlignment="1">
      <alignment horizontal="right" vertical="center" wrapText="1"/>
    </xf>
    <xf numFmtId="170" fontId="28" fillId="2" borderId="0" xfId="18" applyNumberFormat="1" applyFont="1" applyFill="1" applyBorder="1" applyAlignment="1">
      <alignment horizontal="right" vertical="center" wrapText="1"/>
    </xf>
    <xf numFmtId="1" fontId="28" fillId="2" borderId="0" xfId="18" applyNumberFormat="1" applyFont="1" applyFill="1" applyBorder="1" applyAlignment="1">
      <alignment horizontal="right" vertical="center" wrapText="1"/>
    </xf>
    <xf numFmtId="1" fontId="28" fillId="2" borderId="19" xfId="18" applyNumberFormat="1" applyFont="1" applyFill="1" applyBorder="1" applyAlignment="1">
      <alignment horizontal="right" vertical="center" wrapText="1"/>
    </xf>
    <xf numFmtId="0" fontId="28" fillId="2" borderId="0" xfId="0" applyFont="1" applyFill="1"/>
    <xf numFmtId="0" fontId="28" fillId="0" borderId="0" xfId="0" applyFont="1"/>
    <xf numFmtId="176" fontId="28" fillId="0" borderId="0" xfId="0" applyNumberFormat="1" applyFont="1"/>
    <xf numFmtId="9" fontId="28" fillId="0" borderId="0" xfId="115" applyFont="1"/>
    <xf numFmtId="0" fontId="28" fillId="5" borderId="0" xfId="0" applyFont="1" applyFill="1" applyAlignment="1">
      <alignment vertical="center" wrapText="1"/>
    </xf>
    <xf numFmtId="0" fontId="28" fillId="5" borderId="0" xfId="0" applyFont="1" applyFill="1" applyAlignment="1">
      <alignment wrapText="1"/>
    </xf>
    <xf numFmtId="0" fontId="28" fillId="5" borderId="0" xfId="0" applyFont="1" applyFill="1"/>
    <xf numFmtId="0" fontId="28" fillId="5" borderId="36" xfId="0" applyFont="1" applyFill="1" applyBorder="1"/>
    <xf numFmtId="2" fontId="28" fillId="5" borderId="34" xfId="0" applyNumberFormat="1" applyFont="1" applyFill="1" applyBorder="1"/>
    <xf numFmtId="2" fontId="28" fillId="5" borderId="38" xfId="0" applyNumberFormat="1" applyFont="1" applyFill="1" applyBorder="1"/>
    <xf numFmtId="179" fontId="28" fillId="5" borderId="38" xfId="0" applyNumberFormat="1" applyFont="1" applyFill="1" applyBorder="1"/>
    <xf numFmtId="0" fontId="27" fillId="5" borderId="16" xfId="0" applyFont="1" applyFill="1" applyBorder="1"/>
    <xf numFmtId="0" fontId="27" fillId="5" borderId="1" xfId="0" applyFont="1" applyFill="1" applyBorder="1" applyAlignment="1">
      <alignment horizontal="center" wrapText="1"/>
    </xf>
    <xf numFmtId="0" fontId="27" fillId="5" borderId="3" xfId="0" applyFont="1" applyFill="1" applyBorder="1" applyAlignment="1">
      <alignment horizontal="center" wrapText="1"/>
    </xf>
    <xf numFmtId="167" fontId="28" fillId="5" borderId="11" xfId="18" applyFont="1" applyFill="1" applyBorder="1" applyAlignment="1">
      <alignment horizontal="left"/>
    </xf>
    <xf numFmtId="176" fontId="28" fillId="5" borderId="0" xfId="0" applyNumberFormat="1" applyFont="1" applyFill="1"/>
    <xf numFmtId="176" fontId="28" fillId="5" borderId="19" xfId="0" applyNumberFormat="1" applyFont="1" applyFill="1" applyBorder="1"/>
    <xf numFmtId="0" fontId="28" fillId="5" borderId="11" xfId="0" applyFont="1" applyFill="1" applyBorder="1"/>
    <xf numFmtId="167" fontId="28" fillId="5" borderId="0" xfId="0" applyNumberFormat="1" applyFont="1" applyFill="1"/>
    <xf numFmtId="167" fontId="28" fillId="5" borderId="19" xfId="0" applyNumberFormat="1" applyFont="1" applyFill="1" applyBorder="1"/>
    <xf numFmtId="167" fontId="28" fillId="6" borderId="11" xfId="18" applyFont="1" applyFill="1" applyBorder="1" applyAlignment="1"/>
    <xf numFmtId="167" fontId="28" fillId="6" borderId="0" xfId="0" applyNumberFormat="1" applyFont="1" applyFill="1"/>
    <xf numFmtId="167" fontId="28" fillId="6" borderId="19" xfId="0" applyNumberFormat="1" applyFont="1" applyFill="1" applyBorder="1"/>
    <xf numFmtId="167" fontId="28" fillId="6" borderId="11" xfId="16" applyFont="1" applyFill="1" applyBorder="1" applyAlignment="1"/>
    <xf numFmtId="0" fontId="28" fillId="5" borderId="11" xfId="30" applyFont="1" applyFill="1" applyBorder="1"/>
    <xf numFmtId="176" fontId="28" fillId="6" borderId="11" xfId="0" applyNumberFormat="1" applyFont="1" applyFill="1" applyBorder="1"/>
    <xf numFmtId="176" fontId="28" fillId="6" borderId="0" xfId="0" applyNumberFormat="1" applyFont="1" applyFill="1"/>
    <xf numFmtId="176" fontId="28" fillId="6" borderId="19" xfId="0" applyNumberFormat="1" applyFont="1" applyFill="1" applyBorder="1"/>
    <xf numFmtId="0" fontId="28" fillId="6" borderId="11" xfId="30" applyFont="1" applyFill="1" applyBorder="1"/>
    <xf numFmtId="2" fontId="28" fillId="5" borderId="46" xfId="0" applyNumberFormat="1" applyFont="1" applyFill="1" applyBorder="1"/>
    <xf numFmtId="179" fontId="28" fillId="5" borderId="52" xfId="0" applyNumberFormat="1" applyFont="1" applyFill="1" applyBorder="1"/>
    <xf numFmtId="0" fontId="28" fillId="5" borderId="7" xfId="0" applyFont="1" applyFill="1" applyBorder="1"/>
    <xf numFmtId="2" fontId="28" fillId="5" borderId="53" xfId="0" applyNumberFormat="1" applyFont="1" applyFill="1" applyBorder="1"/>
    <xf numFmtId="179" fontId="28" fillId="5" borderId="53" xfId="0" applyNumberFormat="1" applyFont="1" applyFill="1" applyBorder="1"/>
    <xf numFmtId="179" fontId="28" fillId="5" borderId="54" xfId="0" applyNumberFormat="1" applyFont="1" applyFill="1" applyBorder="1"/>
    <xf numFmtId="0" fontId="33" fillId="0" borderId="0" xfId="114" applyFont="1"/>
    <xf numFmtId="0" fontId="33" fillId="0" borderId="11" xfId="114" applyFont="1" applyBorder="1"/>
    <xf numFmtId="0" fontId="33" fillId="0" borderId="19" xfId="114" applyFont="1" applyBorder="1"/>
    <xf numFmtId="1" fontId="33" fillId="0" borderId="19" xfId="114" applyNumberFormat="1" applyFont="1" applyBorder="1"/>
    <xf numFmtId="1" fontId="33" fillId="0" borderId="0" xfId="114" applyNumberFormat="1" applyFont="1"/>
    <xf numFmtId="0" fontId="33" fillId="0" borderId="7" xfId="114" applyFont="1" applyBorder="1"/>
    <xf numFmtId="1" fontId="33" fillId="0" borderId="5" xfId="114" applyNumberFormat="1" applyFont="1" applyBorder="1"/>
    <xf numFmtId="0" fontId="33" fillId="0" borderId="2" xfId="114" applyFont="1" applyBorder="1"/>
    <xf numFmtId="0" fontId="33" fillId="0" borderId="5" xfId="114" applyFont="1" applyBorder="1"/>
    <xf numFmtId="0" fontId="25" fillId="0" borderId="0" xfId="114" applyFont="1"/>
    <xf numFmtId="0" fontId="33" fillId="0" borderId="0" xfId="114" applyFont="1" applyAlignment="1">
      <alignment vertical="center"/>
    </xf>
    <xf numFmtId="0" fontId="34" fillId="0" borderId="0" xfId="114" applyFont="1" applyAlignment="1">
      <alignment vertical="center"/>
    </xf>
    <xf numFmtId="0" fontId="29" fillId="0" borderId="0" xfId="114" applyFont="1"/>
    <xf numFmtId="0" fontId="29" fillId="0" borderId="19" xfId="114" applyFont="1" applyBorder="1"/>
    <xf numFmtId="1" fontId="29" fillId="0" borderId="19" xfId="114" applyNumberFormat="1" applyFont="1" applyBorder="1"/>
    <xf numFmtId="1" fontId="29" fillId="0" borderId="0" xfId="114" applyNumberFormat="1" applyFont="1"/>
    <xf numFmtId="1" fontId="29" fillId="0" borderId="5" xfId="114" applyNumberFormat="1" applyFont="1" applyBorder="1"/>
    <xf numFmtId="0" fontId="29" fillId="0" borderId="2" xfId="114" applyFont="1" applyBorder="1"/>
    <xf numFmtId="0" fontId="29" fillId="0" borderId="5" xfId="114" applyFont="1" applyBorder="1"/>
    <xf numFmtId="0" fontId="28" fillId="0" borderId="11" xfId="114" applyFont="1" applyBorder="1"/>
    <xf numFmtId="0" fontId="28" fillId="0" borderId="7" xfId="114" applyFont="1" applyBorder="1"/>
    <xf numFmtId="0" fontId="28" fillId="0" borderId="0" xfId="114" applyFont="1"/>
    <xf numFmtId="0" fontId="34" fillId="0" borderId="11" xfId="114" applyFont="1" applyBorder="1"/>
    <xf numFmtId="0" fontId="34" fillId="0" borderId="7" xfId="114" applyFont="1" applyBorder="1"/>
    <xf numFmtId="0" fontId="34" fillId="0" borderId="0" xfId="114" applyFont="1"/>
    <xf numFmtId="1" fontId="29" fillId="0" borderId="19" xfId="114" applyNumberFormat="1" applyFont="1" applyBorder="1" applyAlignment="1">
      <alignment horizontal="center"/>
    </xf>
    <xf numFmtId="0" fontId="29" fillId="0" borderId="19" xfId="114" applyFont="1" applyBorder="1" applyAlignment="1">
      <alignment horizontal="center"/>
    </xf>
    <xf numFmtId="1" fontId="29" fillId="0" borderId="2" xfId="114" applyNumberFormat="1" applyFont="1" applyBorder="1" applyAlignment="1">
      <alignment horizontal="center"/>
    </xf>
    <xf numFmtId="0" fontId="33" fillId="0" borderId="0" xfId="114" applyFont="1" applyAlignment="1">
      <alignment horizontal="center"/>
    </xf>
    <xf numFmtId="0" fontId="25" fillId="0" borderId="0" xfId="114" applyFont="1" applyAlignment="1">
      <alignment horizontal="center"/>
    </xf>
    <xf numFmtId="1" fontId="33" fillId="0" borderId="19" xfId="114" applyNumberFormat="1" applyFont="1" applyBorder="1" applyAlignment="1">
      <alignment horizontal="center"/>
    </xf>
    <xf numFmtId="0" fontId="33" fillId="0" borderId="19" xfId="114" applyFont="1" applyBorder="1" applyAlignment="1">
      <alignment horizontal="center"/>
    </xf>
    <xf numFmtId="1" fontId="33" fillId="0" borderId="2" xfId="114" applyNumberFormat="1" applyFont="1" applyBorder="1" applyAlignment="1">
      <alignment horizontal="center"/>
    </xf>
    <xf numFmtId="0" fontId="29" fillId="7" borderId="0" xfId="0" applyFont="1" applyFill="1" applyProtection="1">
      <protection hidden="1"/>
    </xf>
    <xf numFmtId="0" fontId="29" fillId="7" borderId="7" xfId="30" applyFont="1" applyFill="1" applyBorder="1" applyAlignment="1">
      <alignment vertical="center"/>
    </xf>
    <xf numFmtId="0" fontId="29" fillId="7" borderId="5" xfId="30" applyFont="1" applyFill="1" applyBorder="1" applyProtection="1">
      <protection hidden="1"/>
    </xf>
    <xf numFmtId="0" fontId="29" fillId="7" borderId="2" xfId="30" applyFont="1" applyFill="1" applyBorder="1"/>
    <xf numFmtId="0" fontId="29" fillId="7" borderId="18" xfId="0" applyFont="1" applyFill="1" applyBorder="1" applyProtection="1">
      <protection hidden="1"/>
    </xf>
    <xf numFmtId="173" fontId="28" fillId="2" borderId="4" xfId="0" applyNumberFormat="1" applyFont="1" applyFill="1" applyBorder="1" applyProtection="1">
      <protection hidden="1"/>
    </xf>
    <xf numFmtId="0" fontId="29" fillId="7" borderId="17" xfId="0" applyFont="1" applyFill="1" applyBorder="1" applyProtection="1">
      <protection hidden="1"/>
    </xf>
    <xf numFmtId="0" fontId="29" fillId="7" borderId="5" xfId="0" applyFont="1" applyFill="1" applyBorder="1" applyProtection="1">
      <protection hidden="1"/>
    </xf>
    <xf numFmtId="170" fontId="28" fillId="0" borderId="25" xfId="0" applyNumberFormat="1" applyFont="1" applyBorder="1" applyAlignment="1">
      <alignment horizontal="center"/>
    </xf>
    <xf numFmtId="0" fontId="27" fillId="2" borderId="35" xfId="0" applyFont="1" applyFill="1" applyBorder="1"/>
    <xf numFmtId="175" fontId="27" fillId="2" borderId="0" xfId="0" applyNumberFormat="1" applyFont="1" applyFill="1"/>
    <xf numFmtId="0" fontId="25" fillId="10" borderId="16" xfId="114" applyFont="1" applyFill="1" applyBorder="1" applyAlignment="1">
      <alignment horizontal="center" vertical="center" wrapText="1"/>
    </xf>
    <xf numFmtId="0" fontId="25" fillId="10" borderId="17" xfId="114" applyFont="1" applyFill="1" applyBorder="1" applyAlignment="1">
      <alignment horizontal="center" vertical="center" wrapText="1"/>
    </xf>
    <xf numFmtId="0" fontId="25" fillId="10" borderId="18" xfId="114" applyFont="1" applyFill="1" applyBorder="1" applyAlignment="1">
      <alignment horizontal="center" vertical="center" wrapText="1"/>
    </xf>
    <xf numFmtId="0" fontId="25" fillId="10" borderId="16" xfId="114" applyFont="1" applyFill="1" applyBorder="1" applyAlignment="1">
      <alignment horizontal="center" vertical="center"/>
    </xf>
    <xf numFmtId="0" fontId="25" fillId="10" borderId="17" xfId="114" applyFont="1" applyFill="1" applyBorder="1" applyAlignment="1">
      <alignment horizontal="center" vertical="center"/>
    </xf>
    <xf numFmtId="0" fontId="25" fillId="10" borderId="18" xfId="114" applyFont="1" applyFill="1" applyBorder="1" applyAlignment="1">
      <alignment horizontal="center" vertical="center"/>
    </xf>
    <xf numFmtId="0" fontId="25" fillId="10" borderId="16" xfId="114" applyFont="1" applyFill="1" applyBorder="1" applyAlignment="1">
      <alignment horizontal="center"/>
    </xf>
    <xf numFmtId="0" fontId="25" fillId="10" borderId="17" xfId="114" applyFont="1" applyFill="1" applyBorder="1" applyAlignment="1">
      <alignment horizontal="center"/>
    </xf>
    <xf numFmtId="0" fontId="25" fillId="10" borderId="18" xfId="114" applyFont="1" applyFill="1" applyBorder="1" applyAlignment="1">
      <alignment horizontal="center"/>
    </xf>
    <xf numFmtId="0" fontId="2" fillId="7" borderId="0" xfId="0" applyFont="1" applyFill="1" applyAlignment="1" applyProtection="1">
      <alignment horizontal="center" wrapText="1"/>
      <protection hidden="1"/>
    </xf>
    <xf numFmtId="0" fontId="2" fillId="7" borderId="40" xfId="0" applyFont="1" applyFill="1" applyBorder="1" applyAlignment="1" applyProtection="1">
      <alignment horizontal="left" wrapText="1"/>
      <protection hidden="1"/>
    </xf>
    <xf numFmtId="0" fontId="2" fillId="0" borderId="20" xfId="64" applyFont="1" applyBorder="1" applyAlignment="1">
      <alignment horizontal="center" vertical="center" textRotation="90" wrapText="1"/>
    </xf>
    <xf numFmtId="0" fontId="2" fillId="0" borderId="6" xfId="64" applyFont="1" applyBorder="1" applyAlignment="1">
      <alignment horizontal="center" vertical="center" textRotation="90" wrapText="1"/>
    </xf>
    <xf numFmtId="0" fontId="2" fillId="0" borderId="41" xfId="64" applyFont="1" applyBorder="1" applyAlignment="1">
      <alignment horizontal="center" vertical="center" textRotation="90" wrapText="1"/>
    </xf>
    <xf numFmtId="0" fontId="2" fillId="0" borderId="10" xfId="64" applyFont="1" applyBorder="1" applyAlignment="1">
      <alignment horizontal="center" vertical="center"/>
    </xf>
    <xf numFmtId="0" fontId="2" fillId="0" borderId="1" xfId="64" applyFont="1" applyBorder="1" applyAlignment="1">
      <alignment horizontal="center" vertical="center"/>
    </xf>
    <xf numFmtId="0" fontId="2" fillId="0" borderId="3" xfId="64" applyFont="1" applyBorder="1" applyAlignment="1">
      <alignment horizontal="center" vertical="center"/>
    </xf>
    <xf numFmtId="0" fontId="2" fillId="0" borderId="10" xfId="64" applyFont="1" applyBorder="1" applyAlignment="1">
      <alignment vertical="center" wrapText="1"/>
    </xf>
    <xf numFmtId="0" fontId="2" fillId="0" borderId="3" xfId="64" applyFont="1" applyBorder="1" applyAlignment="1">
      <alignment vertical="center" wrapText="1"/>
    </xf>
    <xf numFmtId="165" fontId="28" fillId="9" borderId="10" xfId="30" applyNumberFormat="1" applyFont="1" applyFill="1" applyBorder="1" applyAlignment="1" applyProtection="1">
      <alignment horizontal="left" wrapText="1"/>
      <protection hidden="1"/>
    </xf>
    <xf numFmtId="165" fontId="28" fillId="9" borderId="1" xfId="30" applyNumberFormat="1" applyFont="1" applyFill="1" applyBorder="1" applyAlignment="1" applyProtection="1">
      <alignment horizontal="left" wrapText="1"/>
      <protection hidden="1"/>
    </xf>
    <xf numFmtId="165" fontId="28" fillId="9" borderId="3" xfId="30" applyNumberFormat="1" applyFont="1" applyFill="1" applyBorder="1" applyAlignment="1" applyProtection="1">
      <alignment horizontal="left" wrapText="1"/>
      <protection hidden="1"/>
    </xf>
    <xf numFmtId="0" fontId="28" fillId="9" borderId="10" xfId="30" applyFont="1" applyFill="1" applyBorder="1" applyAlignment="1" applyProtection="1">
      <alignment horizontal="left" wrapText="1"/>
      <protection hidden="1"/>
    </xf>
    <xf numFmtId="0" fontId="28" fillId="9" borderId="1" xfId="30" applyFont="1" applyFill="1" applyBorder="1" applyAlignment="1" applyProtection="1">
      <alignment horizontal="left" wrapText="1"/>
      <protection hidden="1"/>
    </xf>
    <xf numFmtId="0" fontId="28" fillId="9" borderId="3" xfId="30" applyFont="1" applyFill="1" applyBorder="1" applyAlignment="1" applyProtection="1">
      <alignment horizontal="left" wrapText="1"/>
      <protection hidden="1"/>
    </xf>
    <xf numFmtId="0" fontId="26" fillId="0" borderId="0" xfId="46" applyFont="1" applyAlignment="1">
      <alignment horizontal="center"/>
    </xf>
    <xf numFmtId="0" fontId="29" fillId="0" borderId="16" xfId="0" applyFont="1" applyBorder="1" applyAlignment="1" applyProtection="1">
      <alignment horizontal="left" vertical="center"/>
      <protection hidden="1"/>
    </xf>
    <xf numFmtId="0" fontId="29" fillId="0" borderId="17" xfId="0" applyFont="1" applyBorder="1" applyAlignment="1" applyProtection="1">
      <alignment horizontal="left" vertical="center"/>
      <protection hidden="1"/>
    </xf>
    <xf numFmtId="0" fontId="29" fillId="0" borderId="18" xfId="0" applyFont="1" applyBorder="1" applyAlignment="1" applyProtection="1">
      <alignment horizontal="left" vertical="center"/>
      <protection hidden="1"/>
    </xf>
    <xf numFmtId="0" fontId="29" fillId="0" borderId="11" xfId="0" applyFont="1" applyBorder="1" applyAlignment="1" applyProtection="1">
      <alignment horizontal="left" vertical="center"/>
      <protection hidden="1"/>
    </xf>
    <xf numFmtId="0" fontId="29" fillId="0" borderId="0" xfId="0" applyFont="1" applyAlignment="1" applyProtection="1">
      <alignment horizontal="left" vertical="center"/>
      <protection hidden="1"/>
    </xf>
    <xf numFmtId="0" fontId="29" fillId="0" borderId="19" xfId="0" applyFont="1" applyBorder="1" applyAlignment="1" applyProtection="1">
      <alignment horizontal="left" vertical="center"/>
      <protection hidden="1"/>
    </xf>
    <xf numFmtId="0" fontId="29" fillId="0" borderId="7" xfId="0" applyFont="1" applyBorder="1" applyAlignment="1" applyProtection="1">
      <alignment horizontal="left" vertical="center"/>
      <protection hidden="1"/>
    </xf>
    <xf numFmtId="0" fontId="29" fillId="0" borderId="5" xfId="0" applyFont="1" applyBorder="1" applyAlignment="1" applyProtection="1">
      <alignment horizontal="left" vertical="center"/>
      <protection hidden="1"/>
    </xf>
    <xf numFmtId="0" fontId="29" fillId="0" borderId="2" xfId="0" applyFont="1" applyBorder="1" applyAlignment="1" applyProtection="1">
      <alignment horizontal="left" vertical="center"/>
      <protection hidden="1"/>
    </xf>
    <xf numFmtId="0" fontId="25" fillId="8" borderId="10" xfId="30" applyFont="1" applyFill="1" applyBorder="1" applyAlignment="1" applyProtection="1">
      <alignment horizontal="left" wrapText="1"/>
      <protection hidden="1"/>
    </xf>
    <xf numFmtId="0" fontId="30" fillId="8" borderId="1" xfId="30" applyFont="1" applyFill="1" applyBorder="1" applyAlignment="1">
      <alignment wrapText="1"/>
    </xf>
    <xf numFmtId="0" fontId="25" fillId="8" borderId="1" xfId="30" applyFont="1" applyFill="1" applyBorder="1" applyAlignment="1" applyProtection="1">
      <alignment wrapText="1"/>
      <protection hidden="1"/>
    </xf>
    <xf numFmtId="0" fontId="29" fillId="9" borderId="1" xfId="30" applyFont="1" applyFill="1" applyBorder="1" applyAlignment="1">
      <alignment horizontal="left" wrapText="1"/>
    </xf>
    <xf numFmtId="0" fontId="29" fillId="9" borderId="3" xfId="30" applyFont="1" applyFill="1" applyBorder="1" applyAlignment="1">
      <alignment horizontal="left" wrapText="1"/>
    </xf>
    <xf numFmtId="0" fontId="25" fillId="8" borderId="10" xfId="0" applyFont="1" applyFill="1" applyBorder="1" applyAlignment="1" applyProtection="1">
      <alignment horizontal="left" wrapText="1"/>
      <protection hidden="1"/>
    </xf>
    <xf numFmtId="0" fontId="30" fillId="8" borderId="1" xfId="0" applyFont="1" applyFill="1" applyBorder="1" applyAlignment="1">
      <alignment horizontal="left" wrapText="1"/>
    </xf>
    <xf numFmtId="0" fontId="30" fillId="8" borderId="3" xfId="0" applyFont="1" applyFill="1" applyBorder="1" applyAlignment="1">
      <alignment horizontal="left" wrapText="1"/>
    </xf>
    <xf numFmtId="0" fontId="28" fillId="9" borderId="10" xfId="0" applyFont="1" applyFill="1" applyBorder="1" applyAlignment="1" applyProtection="1">
      <alignment horizontal="left" wrapText="1"/>
      <protection hidden="1"/>
    </xf>
    <xf numFmtId="0" fontId="29" fillId="9" borderId="1" xfId="0" applyFont="1" applyFill="1" applyBorder="1" applyAlignment="1">
      <alignment horizontal="left" wrapText="1"/>
    </xf>
    <xf numFmtId="0" fontId="25" fillId="8" borderId="10" xfId="30" applyFont="1" applyFill="1" applyBorder="1" applyAlignment="1" applyProtection="1">
      <alignment horizontal="left" wrapText="1" readingOrder="1"/>
      <protection hidden="1"/>
    </xf>
    <xf numFmtId="0" fontId="25" fillId="8" borderId="1" xfId="30" applyFont="1" applyFill="1" applyBorder="1" applyAlignment="1" applyProtection="1">
      <alignment horizontal="left" wrapText="1" readingOrder="1"/>
      <protection hidden="1"/>
    </xf>
    <xf numFmtId="0" fontId="25" fillId="8" borderId="3" xfId="30" applyFont="1" applyFill="1" applyBorder="1" applyAlignment="1" applyProtection="1">
      <alignment horizontal="left" wrapText="1" readingOrder="1"/>
      <protection hidden="1"/>
    </xf>
    <xf numFmtId="0" fontId="27" fillId="2" borderId="13" xfId="0" applyFont="1" applyFill="1" applyBorder="1" applyAlignment="1">
      <alignment wrapText="1"/>
    </xf>
    <xf numFmtId="0" fontId="29" fillId="0" borderId="14" xfId="0" applyFont="1" applyBorder="1" applyAlignment="1">
      <alignment wrapText="1"/>
    </xf>
    <xf numFmtId="0" fontId="27" fillId="2" borderId="44" xfId="0" applyFont="1" applyFill="1" applyBorder="1" applyAlignment="1">
      <alignment wrapText="1"/>
    </xf>
    <xf numFmtId="0" fontId="29" fillId="0" borderId="40" xfId="0" applyFont="1" applyBorder="1" applyAlignment="1">
      <alignment wrapText="1"/>
    </xf>
    <xf numFmtId="0" fontId="25" fillId="8" borderId="10" xfId="30" applyFont="1" applyFill="1" applyBorder="1" applyAlignment="1" applyProtection="1">
      <alignment horizontal="left" vertical="center" wrapText="1"/>
      <protection hidden="1"/>
    </xf>
    <xf numFmtId="0" fontId="30" fillId="8" borderId="1" xfId="30" applyFont="1" applyFill="1" applyBorder="1" applyAlignment="1">
      <alignment vertical="center" wrapText="1"/>
    </xf>
    <xf numFmtId="0" fontId="29" fillId="7" borderId="16" xfId="0" applyFont="1" applyFill="1" applyBorder="1" applyAlignment="1" applyProtection="1">
      <alignment horizontal="left" vertical="center"/>
      <protection hidden="1"/>
    </xf>
    <xf numFmtId="0" fontId="29" fillId="7" borderId="17" xfId="0" applyFont="1" applyFill="1" applyBorder="1" applyAlignment="1" applyProtection="1">
      <alignment horizontal="left" vertical="center"/>
      <protection hidden="1"/>
    </xf>
    <xf numFmtId="0" fontId="29" fillId="7" borderId="11" xfId="0" applyFont="1" applyFill="1" applyBorder="1" applyAlignment="1" applyProtection="1">
      <alignment horizontal="left" vertical="center"/>
      <protection hidden="1"/>
    </xf>
    <xf numFmtId="0" fontId="29" fillId="7" borderId="0" xfId="0" applyFont="1" applyFill="1" applyAlignment="1" applyProtection="1">
      <alignment horizontal="left" vertical="center"/>
      <protection hidden="1"/>
    </xf>
    <xf numFmtId="0" fontId="29" fillId="7" borderId="7" xfId="0" applyFont="1" applyFill="1" applyBorder="1" applyAlignment="1" applyProtection="1">
      <alignment horizontal="left" vertical="center"/>
      <protection hidden="1"/>
    </xf>
    <xf numFmtId="0" fontId="29" fillId="7" borderId="5" xfId="0" applyFont="1" applyFill="1" applyBorder="1" applyAlignment="1" applyProtection="1">
      <alignment horizontal="left" vertical="center"/>
      <protection hidden="1"/>
    </xf>
    <xf numFmtId="0" fontId="25" fillId="8" borderId="10" xfId="30" applyFont="1" applyFill="1" applyBorder="1" applyAlignment="1" applyProtection="1">
      <alignment horizontal="left" vertical="center"/>
      <protection hidden="1"/>
    </xf>
    <xf numFmtId="0" fontId="30" fillId="8" borderId="1" xfId="30" applyFont="1" applyFill="1" applyBorder="1" applyAlignment="1">
      <alignment vertical="center"/>
    </xf>
    <xf numFmtId="0" fontId="27" fillId="2" borderId="50" xfId="0" applyFont="1" applyFill="1" applyBorder="1" applyAlignment="1">
      <alignment wrapText="1"/>
    </xf>
    <xf numFmtId="0" fontId="29" fillId="0" borderId="36" xfId="0" applyFont="1" applyBorder="1" applyAlignment="1">
      <alignment wrapText="1"/>
    </xf>
    <xf numFmtId="0" fontId="29" fillId="7" borderId="11" xfId="0" applyFont="1" applyFill="1" applyBorder="1" applyAlignment="1" applyProtection="1">
      <alignment horizontal="center" vertical="center"/>
      <protection hidden="1"/>
    </xf>
    <xf numFmtId="0" fontId="29" fillId="7" borderId="0" xfId="0" applyFont="1" applyFill="1" applyAlignment="1" applyProtection="1">
      <alignment horizontal="center" vertical="center"/>
      <protection hidden="1"/>
    </xf>
    <xf numFmtId="0" fontId="29" fillId="7" borderId="7" xfId="0" applyFont="1" applyFill="1" applyBorder="1" applyAlignment="1" applyProtection="1">
      <alignment horizontal="center" vertical="center"/>
      <protection hidden="1"/>
    </xf>
    <xf numFmtId="0" fontId="29" fillId="7" borderId="5" xfId="0" applyFont="1" applyFill="1" applyBorder="1" applyAlignment="1" applyProtection="1">
      <alignment horizontal="center" vertical="center"/>
      <protection hidden="1"/>
    </xf>
    <xf numFmtId="0" fontId="30" fillId="8" borderId="1" xfId="30" applyFont="1" applyFill="1" applyBorder="1" applyAlignment="1">
      <alignment horizontal="left" vertical="center" wrapText="1"/>
    </xf>
    <xf numFmtId="0" fontId="30" fillId="8" borderId="3" xfId="30" applyFont="1" applyFill="1" applyBorder="1" applyAlignment="1">
      <alignment horizontal="left" vertical="center" wrapText="1"/>
    </xf>
    <xf numFmtId="0" fontId="29" fillId="7" borderId="16" xfId="0" applyFont="1" applyFill="1" applyBorder="1" applyAlignment="1" applyProtection="1">
      <alignment horizontal="center" vertical="center"/>
      <protection hidden="1"/>
    </xf>
    <xf numFmtId="0" fontId="29" fillId="7" borderId="17" xfId="0" applyFont="1" applyFill="1" applyBorder="1" applyAlignment="1" applyProtection="1">
      <alignment horizontal="center" vertical="center"/>
      <protection hidden="1"/>
    </xf>
    <xf numFmtId="0" fontId="29" fillId="7" borderId="18" xfId="0" applyFont="1" applyFill="1" applyBorder="1" applyAlignment="1" applyProtection="1">
      <alignment horizontal="center" vertical="center"/>
      <protection hidden="1"/>
    </xf>
    <xf numFmtId="0" fontId="29" fillId="7" borderId="19" xfId="0" applyFont="1" applyFill="1" applyBorder="1" applyAlignment="1" applyProtection="1">
      <alignment horizontal="center" vertical="center"/>
      <protection hidden="1"/>
    </xf>
    <xf numFmtId="0" fontId="29" fillId="7" borderId="2" xfId="0" applyFont="1" applyFill="1" applyBorder="1" applyAlignment="1" applyProtection="1">
      <alignment horizontal="center" vertical="center"/>
      <protection hidden="1"/>
    </xf>
    <xf numFmtId="0" fontId="27" fillId="2" borderId="14" xfId="0" applyFont="1" applyFill="1" applyBorder="1" applyAlignment="1">
      <alignment wrapText="1"/>
    </xf>
    <xf numFmtId="0" fontId="27" fillId="2" borderId="43" xfId="0" applyFont="1" applyFill="1" applyBorder="1" applyAlignment="1">
      <alignment wrapText="1"/>
    </xf>
    <xf numFmtId="0" fontId="27" fillId="2" borderId="40" xfId="0" applyFont="1" applyFill="1" applyBorder="1" applyAlignment="1">
      <alignment wrapText="1"/>
    </xf>
    <xf numFmtId="0" fontId="27" fillId="2" borderId="45" xfId="0" applyFont="1" applyFill="1" applyBorder="1" applyAlignment="1">
      <alignment wrapText="1"/>
    </xf>
    <xf numFmtId="0" fontId="25" fillId="8" borderId="10" xfId="30" applyFont="1" applyFill="1" applyBorder="1" applyAlignment="1" applyProtection="1">
      <alignment wrapText="1"/>
      <protection hidden="1"/>
    </xf>
    <xf numFmtId="0" fontId="25" fillId="8" borderId="1" xfId="30" applyFont="1" applyFill="1" applyBorder="1" applyAlignment="1" applyProtection="1">
      <alignment horizontal="left" wrapText="1"/>
      <protection hidden="1"/>
    </xf>
    <xf numFmtId="0" fontId="25" fillId="8" borderId="3" xfId="30" applyFont="1" applyFill="1" applyBorder="1" applyAlignment="1" applyProtection="1">
      <alignment horizontal="left" wrapText="1"/>
      <protection hidden="1"/>
    </xf>
    <xf numFmtId="0" fontId="25" fillId="8" borderId="10" xfId="30" applyFont="1" applyFill="1" applyBorder="1" applyAlignment="1" applyProtection="1">
      <alignment horizontal="left" vertical="center" wrapText="1" readingOrder="1"/>
      <protection hidden="1"/>
    </xf>
    <xf numFmtId="0" fontId="25" fillId="8" borderId="1" xfId="30" applyFont="1" applyFill="1" applyBorder="1" applyAlignment="1" applyProtection="1">
      <alignment horizontal="left" vertical="center" wrapText="1" readingOrder="1"/>
      <protection hidden="1"/>
    </xf>
    <xf numFmtId="0" fontId="25" fillId="8" borderId="3" xfId="30" applyFont="1" applyFill="1" applyBorder="1" applyAlignment="1" applyProtection="1">
      <alignment horizontal="left" vertical="center" wrapText="1" readingOrder="1"/>
      <protection hidden="1"/>
    </xf>
    <xf numFmtId="0" fontId="28" fillId="9" borderId="1" xfId="0" applyFont="1" applyFill="1" applyBorder="1" applyAlignment="1" applyProtection="1">
      <alignment horizontal="left" wrapText="1"/>
      <protection hidden="1"/>
    </xf>
    <xf numFmtId="0" fontId="30" fillId="8" borderId="1" xfId="30" applyFont="1" applyFill="1" applyBorder="1" applyAlignment="1">
      <alignment horizontal="left" wrapText="1"/>
    </xf>
    <xf numFmtId="0" fontId="30" fillId="8" borderId="3" xfId="30" applyFont="1" applyFill="1" applyBorder="1" applyAlignment="1">
      <alignment horizontal="left" wrapText="1"/>
    </xf>
    <xf numFmtId="0" fontId="28" fillId="2" borderId="10" xfId="0" applyFont="1" applyFill="1" applyBorder="1" applyAlignment="1">
      <alignment vertical="center" wrapText="1"/>
    </xf>
    <xf numFmtId="0" fontId="28" fillId="2" borderId="1" xfId="0" applyFont="1" applyFill="1" applyBorder="1" applyAlignment="1">
      <alignment vertical="center" wrapText="1"/>
    </xf>
    <xf numFmtId="0" fontId="28" fillId="2" borderId="1" xfId="0" applyFont="1" applyFill="1" applyBorder="1" applyAlignment="1">
      <alignment wrapText="1"/>
    </xf>
    <xf numFmtId="0" fontId="28" fillId="2" borderId="3" xfId="0" applyFont="1" applyFill="1" applyBorder="1" applyAlignment="1">
      <alignment wrapText="1"/>
    </xf>
    <xf numFmtId="182" fontId="3" fillId="7" borderId="0" xfId="35" applyNumberFormat="1" applyFill="1"/>
  </cellXfs>
  <cellStyles count="116">
    <cellStyle name="Comma 2" xfId="1" xr:uid="{00000000-0005-0000-0000-000000000000}"/>
    <cellStyle name="Comma 2 2" xfId="2" xr:uid="{00000000-0005-0000-0000-000001000000}"/>
    <cellStyle name="Comma 2 3" xfId="3" xr:uid="{00000000-0005-0000-0000-000002000000}"/>
    <cellStyle name="Comma 2 4" xfId="4" xr:uid="{00000000-0005-0000-0000-000003000000}"/>
    <cellStyle name="Comma 3" xfId="5" xr:uid="{00000000-0005-0000-0000-000004000000}"/>
    <cellStyle name="Comma 3 2" xfId="6" xr:uid="{00000000-0005-0000-0000-000005000000}"/>
    <cellStyle name="Comma 3 3" xfId="7" xr:uid="{00000000-0005-0000-0000-000006000000}"/>
    <cellStyle name="Comma 3 3 2" xfId="8" xr:uid="{00000000-0005-0000-0000-000007000000}"/>
    <cellStyle name="Comma 3 4" xfId="9" xr:uid="{00000000-0005-0000-0000-000008000000}"/>
    <cellStyle name="Comma 4" xfId="10" xr:uid="{00000000-0005-0000-0000-000009000000}"/>
    <cellStyle name="Comma 4 2" xfId="11" xr:uid="{00000000-0005-0000-0000-00000A000000}"/>
    <cellStyle name="Comma 5" xfId="12" xr:uid="{00000000-0005-0000-0000-00000B000000}"/>
    <cellStyle name="Comma 5 2" xfId="13" xr:uid="{00000000-0005-0000-0000-00000C000000}"/>
    <cellStyle name="Comma 5 3" xfId="14" xr:uid="{00000000-0005-0000-0000-00000D000000}"/>
    <cellStyle name="Comma 5 3 2" xfId="15" xr:uid="{00000000-0005-0000-0000-00000E000000}"/>
    <cellStyle name="Comma 6" xfId="16" xr:uid="{00000000-0005-0000-0000-00000F000000}"/>
    <cellStyle name="Comma 6 2" xfId="17" xr:uid="{00000000-0005-0000-0000-000010000000}"/>
    <cellStyle name="Comma 6 3" xfId="18" xr:uid="{00000000-0005-0000-0000-000011000000}"/>
    <cellStyle name="Comma 6 3 2" xfId="19" xr:uid="{00000000-0005-0000-0000-000012000000}"/>
    <cellStyle name="Comma 7" xfId="20" xr:uid="{00000000-0005-0000-0000-000013000000}"/>
    <cellStyle name="Comma 7 2" xfId="21" xr:uid="{00000000-0005-0000-0000-000014000000}"/>
    <cellStyle name="Currency 2" xfId="22" xr:uid="{00000000-0005-0000-0000-000015000000}"/>
    <cellStyle name="Currency 3" xfId="23" xr:uid="{00000000-0005-0000-0000-000016000000}"/>
    <cellStyle name="Currency 3 2" xfId="24" xr:uid="{00000000-0005-0000-0000-000017000000}"/>
    <cellStyle name="Hyperlink 2" xfId="25" xr:uid="{00000000-0005-0000-0000-000018000000}"/>
    <cellStyle name="Hyperlink 2 2" xfId="26" xr:uid="{00000000-0005-0000-0000-000019000000}"/>
    <cellStyle name="Hyperlink 2 3" xfId="27" xr:uid="{00000000-0005-0000-0000-00001A000000}"/>
    <cellStyle name="Hyperlink 3" xfId="28" xr:uid="{00000000-0005-0000-0000-00001B000000}"/>
    <cellStyle name="Hyperlink 3 2" xfId="29" xr:uid="{00000000-0005-0000-0000-00001C000000}"/>
    <cellStyle name="Normal" xfId="0" builtinId="0"/>
    <cellStyle name="Normal 10" xfId="114" xr:uid="{2DEE6BA0-D024-437A-8C00-D199E6E65569}"/>
    <cellStyle name="Normal 2" xfId="30" xr:uid="{00000000-0005-0000-0000-00001E000000}"/>
    <cellStyle name="Normal 2 2" xfId="31" xr:uid="{00000000-0005-0000-0000-00001F000000}"/>
    <cellStyle name="Normal 2 2 2" xfId="32" xr:uid="{00000000-0005-0000-0000-000020000000}"/>
    <cellStyle name="Normal 2 2 2 2" xfId="33" xr:uid="{00000000-0005-0000-0000-000021000000}"/>
    <cellStyle name="Normal 2 2 2 3" xfId="34" xr:uid="{00000000-0005-0000-0000-000022000000}"/>
    <cellStyle name="Normal 2 2 3" xfId="35" xr:uid="{00000000-0005-0000-0000-000023000000}"/>
    <cellStyle name="Normal 2 2 4" xfId="36" xr:uid="{00000000-0005-0000-0000-000024000000}"/>
    <cellStyle name="Normal 2 2 5" xfId="37" xr:uid="{00000000-0005-0000-0000-000025000000}"/>
    <cellStyle name="Normal 2 3" xfId="38" xr:uid="{00000000-0005-0000-0000-000026000000}"/>
    <cellStyle name="Normal 2 3 2" xfId="39" xr:uid="{00000000-0005-0000-0000-000027000000}"/>
    <cellStyle name="Normal 2 3 3" xfId="40" xr:uid="{00000000-0005-0000-0000-000028000000}"/>
    <cellStyle name="Normal 2 4" xfId="41" xr:uid="{00000000-0005-0000-0000-000029000000}"/>
    <cellStyle name="Normal 2 5" xfId="42" xr:uid="{00000000-0005-0000-0000-00002A000000}"/>
    <cellStyle name="Normal 2 6" xfId="43" xr:uid="{00000000-0005-0000-0000-00002B000000}"/>
    <cellStyle name="Normal 3" xfId="44" xr:uid="{00000000-0005-0000-0000-00002C000000}"/>
    <cellStyle name="Normal 3 2" xfId="45" xr:uid="{00000000-0005-0000-0000-00002D000000}"/>
    <cellStyle name="Normal 3 2 2" xfId="46" xr:uid="{00000000-0005-0000-0000-00002E000000}"/>
    <cellStyle name="Normal 3 2 3" xfId="47" xr:uid="{00000000-0005-0000-0000-00002F000000}"/>
    <cellStyle name="Normal 3 2 4" xfId="48" xr:uid="{00000000-0005-0000-0000-000030000000}"/>
    <cellStyle name="Normal 3 2 4 2" xfId="49" xr:uid="{00000000-0005-0000-0000-000031000000}"/>
    <cellStyle name="Normal 3 2 4 3" xfId="50" xr:uid="{00000000-0005-0000-0000-000032000000}"/>
    <cellStyle name="Normal 3 2 5" xfId="51" xr:uid="{00000000-0005-0000-0000-000033000000}"/>
    <cellStyle name="Normal 3 3" xfId="52" xr:uid="{00000000-0005-0000-0000-000034000000}"/>
    <cellStyle name="Normal 3 4" xfId="53" xr:uid="{00000000-0005-0000-0000-000035000000}"/>
    <cellStyle name="Normal 3 5" xfId="54" xr:uid="{00000000-0005-0000-0000-000036000000}"/>
    <cellStyle name="Normal 4" xfId="55" xr:uid="{00000000-0005-0000-0000-000037000000}"/>
    <cellStyle name="Normal 4 2" xfId="56" xr:uid="{00000000-0005-0000-0000-000038000000}"/>
    <cellStyle name="Normal 4 2 2" xfId="57" xr:uid="{00000000-0005-0000-0000-000039000000}"/>
    <cellStyle name="Normal 4 2 3" xfId="58" xr:uid="{00000000-0005-0000-0000-00003A000000}"/>
    <cellStyle name="Normal 4 3" xfId="59" xr:uid="{00000000-0005-0000-0000-00003B000000}"/>
    <cellStyle name="Normal 5" xfId="60" xr:uid="{00000000-0005-0000-0000-00003C000000}"/>
    <cellStyle name="Normal 5 2" xfId="61" xr:uid="{00000000-0005-0000-0000-00003D000000}"/>
    <cellStyle name="Normal 5 3" xfId="62" xr:uid="{00000000-0005-0000-0000-00003E000000}"/>
    <cellStyle name="Normal 5 4" xfId="63" xr:uid="{00000000-0005-0000-0000-00003F000000}"/>
    <cellStyle name="Normal 6" xfId="64" xr:uid="{00000000-0005-0000-0000-000040000000}"/>
    <cellStyle name="Normal 6 2" xfId="65" xr:uid="{00000000-0005-0000-0000-000041000000}"/>
    <cellStyle name="Normal 6 3" xfId="66" xr:uid="{00000000-0005-0000-0000-000042000000}"/>
    <cellStyle name="Normal 6 3 2" xfId="67" xr:uid="{00000000-0005-0000-0000-000043000000}"/>
    <cellStyle name="Normal 6 3 3" xfId="68" xr:uid="{00000000-0005-0000-0000-000044000000}"/>
    <cellStyle name="Normal 7" xfId="69" xr:uid="{00000000-0005-0000-0000-000045000000}"/>
    <cellStyle name="Normal 7 2" xfId="70" xr:uid="{00000000-0005-0000-0000-000046000000}"/>
    <cellStyle name="Normal 8" xfId="71" xr:uid="{00000000-0005-0000-0000-000047000000}"/>
    <cellStyle name="Normal 9" xfId="72" xr:uid="{00000000-0005-0000-0000-000048000000}"/>
    <cellStyle name="Normal 9 2" xfId="73" xr:uid="{00000000-0005-0000-0000-000049000000}"/>
    <cellStyle name="Per cent" xfId="115" builtinId="5"/>
    <cellStyle name="Percent 10" xfId="74" xr:uid="{00000000-0005-0000-0000-00004A000000}"/>
    <cellStyle name="Percent 10 2" xfId="75" xr:uid="{00000000-0005-0000-0000-00004B000000}"/>
    <cellStyle name="Percent 10 3" xfId="76" xr:uid="{00000000-0005-0000-0000-00004C000000}"/>
    <cellStyle name="Percent 10 4" xfId="77" xr:uid="{00000000-0005-0000-0000-00004D000000}"/>
    <cellStyle name="Percent 2" xfId="78" xr:uid="{00000000-0005-0000-0000-00004E000000}"/>
    <cellStyle name="Percent 2 2" xfId="79" xr:uid="{00000000-0005-0000-0000-00004F000000}"/>
    <cellStyle name="Percent 2 3" xfId="80" xr:uid="{00000000-0005-0000-0000-000050000000}"/>
    <cellStyle name="Percent 2 3 2" xfId="81" xr:uid="{00000000-0005-0000-0000-000051000000}"/>
    <cellStyle name="Percent 2 3 3" xfId="82" xr:uid="{00000000-0005-0000-0000-000052000000}"/>
    <cellStyle name="Percent 2 3 4" xfId="83" xr:uid="{00000000-0005-0000-0000-000053000000}"/>
    <cellStyle name="Percent 2 4" xfId="84" xr:uid="{00000000-0005-0000-0000-000054000000}"/>
    <cellStyle name="Percent 2 5" xfId="85" xr:uid="{00000000-0005-0000-0000-000055000000}"/>
    <cellStyle name="Percent 2 5 2" xfId="86" xr:uid="{00000000-0005-0000-0000-000056000000}"/>
    <cellStyle name="Percent 3" xfId="87" xr:uid="{00000000-0005-0000-0000-000057000000}"/>
    <cellStyle name="Percent 3 2" xfId="88" xr:uid="{00000000-0005-0000-0000-000058000000}"/>
    <cellStyle name="Percent 4" xfId="89" xr:uid="{00000000-0005-0000-0000-000059000000}"/>
    <cellStyle name="Percent 4 2" xfId="90" xr:uid="{00000000-0005-0000-0000-00005A000000}"/>
    <cellStyle name="Percent 5" xfId="91" xr:uid="{00000000-0005-0000-0000-00005B000000}"/>
    <cellStyle name="Percent 5 2" xfId="92" xr:uid="{00000000-0005-0000-0000-00005C000000}"/>
    <cellStyle name="Percent 5 2 2" xfId="93" xr:uid="{00000000-0005-0000-0000-00005D000000}"/>
    <cellStyle name="Percent 5 2 3" xfId="94" xr:uid="{00000000-0005-0000-0000-00005E000000}"/>
    <cellStyle name="Percent 5 2 3 2" xfId="95" xr:uid="{00000000-0005-0000-0000-00005F000000}"/>
    <cellStyle name="Percent 5 3" xfId="96" xr:uid="{00000000-0005-0000-0000-000060000000}"/>
    <cellStyle name="Percent 5 3 2" xfId="97" xr:uid="{00000000-0005-0000-0000-000061000000}"/>
    <cellStyle name="Percent 6" xfId="98" xr:uid="{00000000-0005-0000-0000-000062000000}"/>
    <cellStyle name="Percent 6 2" xfId="99" xr:uid="{00000000-0005-0000-0000-000063000000}"/>
    <cellStyle name="Percent 6 3" xfId="100" xr:uid="{00000000-0005-0000-0000-000064000000}"/>
    <cellStyle name="Percent 6 3 2" xfId="101" xr:uid="{00000000-0005-0000-0000-000065000000}"/>
    <cellStyle name="Percent 7" xfId="102" xr:uid="{00000000-0005-0000-0000-000066000000}"/>
    <cellStyle name="Percent 7 2" xfId="103" xr:uid="{00000000-0005-0000-0000-000067000000}"/>
    <cellStyle name="Percent 7 3" xfId="104" xr:uid="{00000000-0005-0000-0000-000068000000}"/>
    <cellStyle name="Percent 7 4" xfId="105" xr:uid="{00000000-0005-0000-0000-000069000000}"/>
    <cellStyle name="Percent 7 4 2" xfId="106" xr:uid="{00000000-0005-0000-0000-00006A000000}"/>
    <cellStyle name="Percent 7 5" xfId="107" xr:uid="{00000000-0005-0000-0000-00006B000000}"/>
    <cellStyle name="Percent 7 5 2" xfId="108" xr:uid="{00000000-0005-0000-0000-00006C000000}"/>
    <cellStyle name="Percent 8" xfId="109" xr:uid="{00000000-0005-0000-0000-00006D000000}"/>
    <cellStyle name="Percent 8 2" xfId="110" xr:uid="{00000000-0005-0000-0000-00006E000000}"/>
    <cellStyle name="Percent 8 3" xfId="111" xr:uid="{00000000-0005-0000-0000-00006F000000}"/>
    <cellStyle name="Percent 8 3 2" xfId="112" xr:uid="{00000000-0005-0000-0000-000070000000}"/>
    <cellStyle name="Percent 9" xfId="113" xr:uid="{00000000-0005-0000-0000-000071000000}"/>
  </cellStyles>
  <dxfs count="59">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strike val="0"/>
        <outline val="0"/>
        <shadow val="0"/>
        <u val="none"/>
        <vertAlign val="baseline"/>
        <sz val="11"/>
        <name val="Aptos"/>
        <family val="2"/>
        <scheme val="none"/>
      </font>
      <border diagonalUp="0" diagonalDown="0" outline="0">
        <left/>
        <right style="medium">
          <color indexed="64"/>
        </right>
      </border>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strike val="0"/>
        <outline val="0"/>
        <shadow val="0"/>
        <u val="none"/>
        <vertAlign val="baseline"/>
        <sz val="11"/>
        <name val="Aptos"/>
        <family val="2"/>
        <scheme val="none"/>
      </font>
    </dxf>
    <dxf>
      <font>
        <b/>
        <i val="0"/>
        <strike val="0"/>
        <condense val="0"/>
        <extend val="0"/>
        <outline val="0"/>
        <shadow val="0"/>
        <u val="none"/>
        <vertAlign val="baseline"/>
        <sz val="11"/>
        <color indexed="8"/>
        <name val="Aptos"/>
        <family val="2"/>
        <scheme val="none"/>
      </font>
      <fill>
        <patternFill patternType="solid">
          <fgColor indexed="64"/>
          <bgColor indexed="9"/>
        </patternFill>
      </fill>
      <border diagonalUp="0" diagonalDown="0" outline="0">
        <left style="medium">
          <color indexed="64"/>
        </left>
        <right/>
        <top/>
        <bottom style="thin">
          <color indexed="64"/>
        </bottom>
      </border>
    </dxf>
    <dxf>
      <border outline="0">
        <top style="thin">
          <color indexed="64"/>
        </top>
        <bottom style="thin">
          <color indexed="64"/>
        </bottom>
      </border>
    </dxf>
    <dxf>
      <font>
        <b/>
        <strike val="0"/>
        <outline val="0"/>
        <shadow val="0"/>
        <u val="none"/>
        <vertAlign val="baseline"/>
        <sz val="11"/>
        <name val="Aptos"/>
        <family val="2"/>
        <scheme val="none"/>
      </font>
    </dxf>
    <dxf>
      <font>
        <b/>
        <strike val="0"/>
        <outline val="0"/>
        <shadow val="0"/>
        <u val="none"/>
        <vertAlign val="baseline"/>
        <sz val="11"/>
        <name val="Aptos"/>
        <family val="2"/>
        <scheme val="none"/>
      </font>
      <fill>
        <patternFill patternType="solid">
          <fgColor indexed="64"/>
          <bgColor indexed="9"/>
        </patternFill>
      </fill>
    </dxf>
  </dxfs>
  <tableStyles count="1" defaultTableStyle="TableStyleMedium9" defaultPivotStyle="PivotStyleLight16">
    <tableStyle name="Invisible" pivot="0" table="0" count="0" xr9:uid="{EFDA0692-24F8-4D34-9E64-83E58002D9BE}"/>
  </tableStyles>
  <colors>
    <mruColors>
      <color rgb="FFAD9244"/>
      <color rgb="FF3A6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333333"/>
                </a:solidFill>
                <a:latin typeface="Calibri"/>
                <a:ea typeface="Calibri"/>
                <a:cs typeface="Calibri"/>
              </a:defRPr>
            </a:pPr>
            <a:r>
              <a:rPr lang="en-ZA"/>
              <a:t>Margin Comparison / Marge Vergelyking: Northwest Free State  R/ha)</a:t>
            </a:r>
          </a:p>
        </c:rich>
      </c:tx>
      <c:overlay val="0"/>
      <c:spPr>
        <a:noFill/>
        <a:ln w="25400">
          <a:noFill/>
        </a:ln>
      </c:spPr>
    </c:title>
    <c:autoTitleDeleted val="0"/>
    <c:plotArea>
      <c:layout>
        <c:manualLayout>
          <c:layoutTarget val="inner"/>
          <c:xMode val="edge"/>
          <c:yMode val="edge"/>
          <c:x val="8.9216600560370604E-2"/>
          <c:y val="0.11367393648578078"/>
          <c:w val="0.89034990337495268"/>
          <c:h val="0.69319330876508889"/>
        </c:manualLayout>
      </c:layout>
      <c:barChart>
        <c:barDir val="col"/>
        <c:grouping val="clustered"/>
        <c:varyColors val="0"/>
        <c:ser>
          <c:idx val="0"/>
          <c:order val="0"/>
          <c:tx>
            <c:strRef>
              <c:f>'Crop Comparison'!$A$33</c:f>
              <c:strCache>
                <c:ptCount val="1"/>
                <c:pt idx="0">
                  <c:v>3) GROSS MARGIN  (R/ha)</c:v>
                </c:pt>
              </c:strCache>
            </c:strRef>
          </c:tx>
          <c:spPr>
            <a:solidFill>
              <a:schemeClr val="bg1"/>
            </a:solidFill>
            <a:ln w="25400">
              <a:solidFill>
                <a:schemeClr val="accent1"/>
              </a:solidFill>
            </a:ln>
            <a:effectLst/>
          </c:spPr>
          <c:invertIfNegative val="0"/>
          <c:dLbls>
            <c:spPr>
              <a:noFill/>
              <a:ln w="9525" cap="flat" cmpd="sng" algn="ctr">
                <a:solidFill>
                  <a:schemeClr val="accent1">
                    <a:shade val="95000"/>
                    <a:satMod val="105000"/>
                  </a:schemeClr>
                </a:solidFill>
                <a:prstDash val="solid"/>
              </a:ln>
              <a:effectLst>
                <a:outerShdw blurRad="40000" dist="20000" dir="5400000" rotWithShape="0">
                  <a:srgbClr val="000000">
                    <a:alpha val="38000"/>
                  </a:srgbClr>
                </a:outerShdw>
              </a:effectLst>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Comparison'!$B$2:$H$2</c:f>
              <c:strCache>
                <c:ptCount val="7"/>
                <c:pt idx="0">
                  <c:v>Maize (lower yield)</c:v>
                </c:pt>
                <c:pt idx="1">
                  <c:v>Maize (higher yield)</c:v>
                </c:pt>
                <c:pt idx="2">
                  <c:v>Maize (Bt)</c:v>
                </c:pt>
                <c:pt idx="3">
                  <c:v>Sunflower</c:v>
                </c:pt>
                <c:pt idx="4">
                  <c:v>Soybean</c:v>
                </c:pt>
                <c:pt idx="5">
                  <c:v>Grain Sorghum</c:v>
                </c:pt>
                <c:pt idx="6">
                  <c:v>Groundnuts</c:v>
                </c:pt>
              </c:strCache>
            </c:strRef>
          </c:cat>
          <c:val>
            <c:numRef>
              <c:f>'Crop Comparison'!$B$33:$H$33</c:f>
              <c:numCache>
                <c:formatCode>_ [$R-1C09]\ * #\ ##0_ ;_ [$R-1C09]\ * \-#\ ##0_ ;_ [$R-1C09]\ * "-"??_ ;_ @_ </c:formatCode>
                <c:ptCount val="7"/>
                <c:pt idx="0">
                  <c:v>-949.49596741556888</c:v>
                </c:pt>
                <c:pt idx="1">
                  <c:v>760.87376697391301</c:v>
                </c:pt>
                <c:pt idx="2">
                  <c:v>-1414.3472582345457</c:v>
                </c:pt>
                <c:pt idx="3">
                  <c:v>2246.8181491967171</c:v>
                </c:pt>
                <c:pt idx="4">
                  <c:v>362.40646962519531</c:v>
                </c:pt>
                <c:pt idx="5">
                  <c:v>-1408.7354211718975</c:v>
                </c:pt>
                <c:pt idx="6">
                  <c:v>11633.286133553605</c:v>
                </c:pt>
              </c:numCache>
            </c:numRef>
          </c:val>
          <c:extLst>
            <c:ext xmlns:c16="http://schemas.microsoft.com/office/drawing/2014/chart" uri="{C3380CC4-5D6E-409C-BE32-E72D297353CC}">
              <c16:uniqueId val="{00000000-AD9F-4852-B5E8-1AF301A39B84}"/>
            </c:ext>
          </c:extLst>
        </c:ser>
        <c:ser>
          <c:idx val="1"/>
          <c:order val="1"/>
          <c:tx>
            <c:strRef>
              <c:f>'Crop Comparison'!$A$34</c:f>
              <c:strCache>
                <c:ptCount val="1"/>
                <c:pt idx="0">
                  <c:v>4) NETT MARGIN  (R/ha)</c:v>
                </c:pt>
              </c:strCache>
            </c:strRef>
          </c:tx>
          <c:spPr>
            <a:noFill/>
            <a:ln w="31750">
              <a:solidFill>
                <a:srgbClr val="FF0000"/>
              </a:solidFill>
            </a:ln>
          </c:spPr>
          <c:invertIfNegative val="0"/>
          <c:dLbls>
            <c:spPr>
              <a:ln>
                <a:solidFill>
                  <a:srgbClr val="FF0000"/>
                </a:solidFill>
              </a:ln>
            </c:spPr>
            <c:txPr>
              <a:bodyPr wrap="square" lIns="38100" tIns="19050" rIns="38100" bIns="19050" anchor="ctr">
                <a:spAutoFit/>
              </a:bodyPr>
              <a:lstStyle/>
              <a:p>
                <a:pPr>
                  <a:defRPr sz="1100" b="1"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'Crop Comparison'!$B$2:$H$2</c:f>
              <c:strCache>
                <c:ptCount val="7"/>
                <c:pt idx="0">
                  <c:v>Maize (lower yield)</c:v>
                </c:pt>
                <c:pt idx="1">
                  <c:v>Maize (higher yield)</c:v>
                </c:pt>
                <c:pt idx="2">
                  <c:v>Maize (Bt)</c:v>
                </c:pt>
                <c:pt idx="3">
                  <c:v>Sunflower</c:v>
                </c:pt>
                <c:pt idx="4">
                  <c:v>Soybean</c:v>
                </c:pt>
                <c:pt idx="5">
                  <c:v>Grain Sorghum</c:v>
                </c:pt>
                <c:pt idx="6">
                  <c:v>Groundnuts</c:v>
                </c:pt>
              </c:strCache>
            </c:strRef>
          </c:cat>
          <c:val>
            <c:numRef>
              <c:f>'Crop Comparison'!$B$34:$H$34</c:f>
              <c:numCache>
                <c:formatCode>_ [$R-1C09]\ * #\ ##0_ ;_ [$R-1C09]\ * \-#\ ##0_ ;_ [$R-1C09]\ * "-"??_ ;_ @_ </c:formatCode>
                <c:ptCount val="7"/>
                <c:pt idx="0">
                  <c:v>-8076.71596741557</c:v>
                </c:pt>
                <c:pt idx="1">
                  <c:v>-6567.7362330260876</c:v>
                </c:pt>
                <c:pt idx="2">
                  <c:v>-9072.5072582345456</c:v>
                </c:pt>
                <c:pt idx="3">
                  <c:v>-4089.4618508032836</c:v>
                </c:pt>
                <c:pt idx="4">
                  <c:v>-6422.4635303748073</c:v>
                </c:pt>
                <c:pt idx="5">
                  <c:v>-8326.9754211718955</c:v>
                </c:pt>
                <c:pt idx="6">
                  <c:v>3752.8161335536061</c:v>
                </c:pt>
              </c:numCache>
            </c:numRef>
          </c:val>
          <c:extLst>
            <c:ext xmlns:c16="http://schemas.microsoft.com/office/drawing/2014/chart" uri="{C3380CC4-5D6E-409C-BE32-E72D297353CC}">
              <c16:uniqueId val="{00000003-AD9F-4852-B5E8-1AF301A39B84}"/>
            </c:ext>
          </c:extLst>
        </c:ser>
        <c:dLbls>
          <c:showLegendKey val="0"/>
          <c:showVal val="0"/>
          <c:showCatName val="0"/>
          <c:showSerName val="0"/>
          <c:showPercent val="0"/>
          <c:showBubbleSize val="0"/>
        </c:dLbls>
        <c:gapWidth val="150"/>
        <c:axId val="130243615"/>
        <c:axId val="1"/>
      </c:barChart>
      <c:catAx>
        <c:axId val="130243615"/>
        <c:scaling>
          <c:orientation val="minMax"/>
        </c:scaling>
        <c:delete val="0"/>
        <c:axPos val="b"/>
        <c:numFmt formatCode="General" sourceLinked="1"/>
        <c:majorTickMark val="none"/>
        <c:minorTickMark val="none"/>
        <c:tickLblPos val="low"/>
        <c:spPr>
          <a:ln w="9525">
            <a:noFill/>
          </a:ln>
        </c:spPr>
        <c:txPr>
          <a:bodyPr rot="0" vert="horz" anchor="b" anchorCtr="1"/>
          <a:lstStyle/>
          <a:p>
            <a:pPr>
              <a:defRPr sz="1050" b="1"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11000"/>
        </c:scaling>
        <c:delete val="0"/>
        <c:axPos val="l"/>
        <c:majorGridlines>
          <c:spPr>
            <a:ln w="9525" cap="flat" cmpd="sng" algn="ctr">
              <a:solidFill>
                <a:schemeClr val="tx1">
                  <a:lumMod val="15000"/>
                  <a:lumOff val="85000"/>
                </a:schemeClr>
              </a:solidFill>
              <a:round/>
            </a:ln>
            <a:effectLst/>
          </c:spPr>
        </c:majorGridlines>
        <c:numFmt formatCode="_ [$R-1C09]\ * #\ ##0_ ;_ [$R-1C09]\ * \-#\ ##0_ ;_ [$R-1C09]\ * &quot;-&quot;??_ ;_ @_ " sourceLinked="1"/>
        <c:majorTickMark val="none"/>
        <c:minorTickMark val="none"/>
        <c:tickLblPos val="nextTo"/>
        <c:spPr>
          <a:ln w="9525">
            <a:noFill/>
          </a:ln>
        </c:spPr>
        <c:txPr>
          <a:bodyPr rot="0" vert="horz"/>
          <a:lstStyle/>
          <a:p>
            <a:pPr>
              <a:defRPr sz="1100" b="0" i="0" u="none" strike="noStrike" baseline="0">
                <a:solidFill>
                  <a:srgbClr val="333333"/>
                </a:solidFill>
                <a:latin typeface="Calibri"/>
                <a:ea typeface="Calibri"/>
                <a:cs typeface="Calibri"/>
              </a:defRPr>
            </a:pPr>
            <a:endParaRPr lang="en-US"/>
          </a:p>
        </c:txPr>
        <c:crossAx val="130243615"/>
        <c:crosses val="autoZero"/>
        <c:crossBetween val="between"/>
      </c:valAx>
      <c:spPr>
        <a:noFill/>
        <a:ln w="25400">
          <a:noFill/>
        </a:ln>
      </c:spPr>
    </c:plotArea>
    <c:legend>
      <c:legendPos val="r"/>
      <c:layout>
        <c:manualLayout>
          <c:xMode val="edge"/>
          <c:yMode val="edge"/>
          <c:x val="0.1739690862971156"/>
          <c:y val="0.90162959738199955"/>
          <c:w val="0.65281796272227832"/>
          <c:h val="7.2502261454866393E-2"/>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0"/>
            </a:pPr>
            <a:r>
              <a:rPr lang="en-ZA" b="1"/>
              <a:t>Mielie</a:t>
            </a:r>
            <a:r>
              <a:rPr lang="en-ZA" sz="1800" b="1" i="0" u="none" strike="noStrike" kern="1200" baseline="0">
                <a:solidFill>
                  <a:sysClr val="windowText" lastClr="000000"/>
                </a:solidFill>
                <a:latin typeface="+mn-lt"/>
                <a:ea typeface="+mn-ea"/>
                <a:cs typeface="+mn-cs"/>
              </a:rPr>
              <a:t>winsgewendheid</a:t>
            </a:r>
            <a:r>
              <a:rPr lang="en-ZA" sz="1400" b="1"/>
              <a:t> </a:t>
            </a:r>
            <a:r>
              <a:rPr lang="en-ZA" sz="1200" b="0"/>
              <a:t>(Hoër</a:t>
            </a:r>
            <a:r>
              <a:rPr lang="en-ZA" sz="1200" b="0" baseline="0"/>
              <a:t> opbrengs)</a:t>
            </a:r>
            <a:endParaRPr lang="en-ZA" sz="1050" b="0"/>
          </a:p>
        </c:rich>
      </c:tx>
      <c:layout>
        <c:manualLayout>
          <c:xMode val="edge"/>
          <c:yMode val="edge"/>
          <c:x val="0.28843510540431561"/>
          <c:y val="4.7382498526292366E-2"/>
        </c:manualLayout>
      </c:layout>
      <c:overlay val="0"/>
    </c:title>
    <c:autoTitleDeleted val="0"/>
    <c:plotArea>
      <c:layout>
        <c:manualLayout>
          <c:layoutTarget val="inner"/>
          <c:xMode val="edge"/>
          <c:yMode val="edge"/>
          <c:x val="0.31595315843735494"/>
          <c:y val="0.21822815626307582"/>
          <c:w val="0.37018027676117948"/>
          <c:h val="0.77913437697758137"/>
        </c:manualLayout>
      </c:layout>
      <c:doughnutChart>
        <c:varyColors val="1"/>
        <c:ser>
          <c:idx val="0"/>
          <c:order val="0"/>
          <c:tx>
            <c:strRef>
              <c:f>Grafieke!$A$1</c:f>
              <c:strCache>
                <c:ptCount val="1"/>
                <c:pt idx="0">
                  <c:v>Winsgewendheid: Mielies (Hoer opbrengs)</c:v>
                </c:pt>
              </c:strCache>
            </c:strRef>
          </c:tx>
          <c:explosion val="2"/>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782E-4206-BB6E-42D6F2A40863}"/>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782E-4206-BB6E-42D6F2A40863}"/>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782E-4206-BB6E-42D6F2A40863}"/>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782E-4206-BB6E-42D6F2A40863}"/>
              </c:ext>
            </c:extLst>
          </c:dPt>
          <c:dPt>
            <c:idx val="4"/>
            <c:bubble3D val="0"/>
            <c:spPr>
              <a:noFill/>
              <a:ln>
                <a:noFill/>
              </a:ln>
              <a:effectLst/>
            </c:spPr>
            <c:extLst>
              <c:ext xmlns:c16="http://schemas.microsoft.com/office/drawing/2014/chart" uri="{C3380CC4-5D6E-409C-BE32-E72D297353CC}">
                <c16:uniqueId val="{00000009-782E-4206-BB6E-42D6F2A40863}"/>
              </c:ext>
            </c:extLst>
          </c:dPt>
          <c:dLbls>
            <c:dLbl>
              <c:idx val="0"/>
              <c:delete val="1"/>
              <c:extLst>
                <c:ext xmlns:c15="http://schemas.microsoft.com/office/drawing/2012/chart" uri="{CE6537A1-D6FC-4f65-9D91-7224C49458BB}"/>
                <c:ext xmlns:c16="http://schemas.microsoft.com/office/drawing/2014/chart" uri="{C3380CC4-5D6E-409C-BE32-E72D297353CC}">
                  <c16:uniqueId val="{00000001-782E-4206-BB6E-42D6F2A40863}"/>
                </c:ext>
              </c:extLst>
            </c:dLbl>
            <c:dLbl>
              <c:idx val="1"/>
              <c:tx>
                <c:rich>
                  <a:bodyPr/>
                  <a:lstStyle/>
                  <a:p>
                    <a:r>
                      <a:rPr lang="en-US"/>
                      <a:t>Veranderlike Koste</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782E-4206-BB6E-42D6F2A40863}"/>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782E-4206-BB6E-42D6F2A40863}"/>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782E-4206-BB6E-42D6F2A40863}"/>
                </c:ext>
              </c:extLst>
            </c:dLbl>
            <c:dLbl>
              <c:idx val="4"/>
              <c:delete val="1"/>
              <c:extLst>
                <c:ext xmlns:c15="http://schemas.microsoft.com/office/drawing/2012/chart" uri="{CE6537A1-D6FC-4f65-9D91-7224C49458BB}"/>
                <c:ext xmlns:c16="http://schemas.microsoft.com/office/drawing/2014/chart" uri="{C3380CC4-5D6E-409C-BE32-E72D297353CC}">
                  <c16:uniqueId val="{00000009-782E-4206-BB6E-42D6F2A40863}"/>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Grafieke!$C$2:$C$6</c:f>
              <c:numCache>
                <c:formatCode>0</c:formatCode>
                <c:ptCount val="5"/>
                <c:pt idx="0" formatCode="General">
                  <c:v>0</c:v>
                </c:pt>
                <c:pt idx="1">
                  <c:v>42.407339858806033</c:v>
                </c:pt>
                <c:pt idx="2">
                  <c:v>13.757032374433084</c:v>
                </c:pt>
                <c:pt idx="3">
                  <c:v>43.835627766760879</c:v>
                </c:pt>
                <c:pt idx="4" formatCode="General">
                  <c:v>100</c:v>
                </c:pt>
              </c:numCache>
            </c:numRef>
          </c:val>
          <c:extLst>
            <c:ext xmlns:c16="http://schemas.microsoft.com/office/drawing/2014/chart" uri="{C3380CC4-5D6E-409C-BE32-E72D297353CC}">
              <c16:uniqueId val="{0000000A-782E-4206-BB6E-42D6F2A40863}"/>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782E-4206-BB6E-42D6F2A40863}"/>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782E-4206-BB6E-42D6F2A40863}"/>
              </c:ext>
            </c:extLst>
          </c:dPt>
          <c:dPt>
            <c:idx val="2"/>
            <c:bubble3D val="0"/>
            <c:spPr>
              <a:noFill/>
              <a:ln>
                <a:noFill/>
              </a:ln>
              <a:effectLst/>
            </c:spPr>
            <c:extLst>
              <c:ext xmlns:c16="http://schemas.microsoft.com/office/drawing/2014/chart" uri="{C3380CC4-5D6E-409C-BE32-E72D297353CC}">
                <c16:uniqueId val="{00000010-782E-4206-BB6E-42D6F2A40863}"/>
              </c:ext>
            </c:extLst>
          </c:dPt>
          <c:val>
            <c:numRef>
              <c:f>Grafieke!$F$2:$F$4</c:f>
              <c:numCache>
                <c:formatCode>General</c:formatCode>
                <c:ptCount val="3"/>
                <c:pt idx="0" formatCode="0">
                  <c:v>43.835627766760879</c:v>
                </c:pt>
                <c:pt idx="1">
                  <c:v>1</c:v>
                </c:pt>
                <c:pt idx="2" formatCode="0">
                  <c:v>155.16437223323913</c:v>
                </c:pt>
              </c:numCache>
            </c:numRef>
          </c:val>
          <c:extLst>
            <c:ext xmlns:c16="http://schemas.microsoft.com/office/drawing/2014/chart" uri="{C3380CC4-5D6E-409C-BE32-E72D297353CC}">
              <c16:uniqueId val="{00000011-782E-4206-BB6E-42D6F2A40863}"/>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Sunflower</a:t>
            </a:r>
            <a:r>
              <a:rPr lang="en-GB" baseline="0"/>
              <a:t> profitability</a:t>
            </a:r>
            <a:endParaRPr lang="en-GB"/>
          </a:p>
        </c:rich>
      </c:tx>
      <c:overlay val="0"/>
    </c:title>
    <c:autoTitleDeleted val="0"/>
    <c:plotArea>
      <c:layout>
        <c:manualLayout>
          <c:layoutTarget val="inner"/>
          <c:xMode val="edge"/>
          <c:yMode val="edge"/>
          <c:x val="0.3138312504815724"/>
          <c:y val="0.20618906700407469"/>
          <c:w val="0.37233766297638776"/>
          <c:h val="0.79165019711181517"/>
        </c:manualLayout>
      </c:layout>
      <c:doughnutChart>
        <c:varyColors val="1"/>
        <c:ser>
          <c:idx val="0"/>
          <c:order val="0"/>
          <c:tx>
            <c:strRef>
              <c:f>Grafieke!$A$34</c:f>
              <c:strCache>
                <c:ptCount val="1"/>
                <c:pt idx="0">
                  <c:v>Winsgewendheid: Sonneblom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EDAC-4723-9EF6-2AFD0B64267B}"/>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EDAC-4723-9EF6-2AFD0B64267B}"/>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EDAC-4723-9EF6-2AFD0B64267B}"/>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EDAC-4723-9EF6-2AFD0B64267B}"/>
              </c:ext>
            </c:extLst>
          </c:dPt>
          <c:dPt>
            <c:idx val="4"/>
            <c:bubble3D val="0"/>
            <c:spPr>
              <a:noFill/>
              <a:ln>
                <a:noFill/>
              </a:ln>
              <a:effectLst/>
            </c:spPr>
            <c:extLst>
              <c:ext xmlns:c16="http://schemas.microsoft.com/office/drawing/2014/chart" uri="{C3380CC4-5D6E-409C-BE32-E72D297353CC}">
                <c16:uniqueId val="{00000009-EDAC-4723-9EF6-2AFD0B64267B}"/>
              </c:ext>
            </c:extLst>
          </c:dPt>
          <c:dLbls>
            <c:dLbl>
              <c:idx val="0"/>
              <c:delete val="1"/>
              <c:extLst>
                <c:ext xmlns:c15="http://schemas.microsoft.com/office/drawing/2012/chart" uri="{CE6537A1-D6FC-4f65-9D91-7224C49458BB}"/>
                <c:ext xmlns:c16="http://schemas.microsoft.com/office/drawing/2014/chart" uri="{C3380CC4-5D6E-409C-BE32-E72D297353CC}">
                  <c16:uniqueId val="{00000001-EDAC-4723-9EF6-2AFD0B64267B}"/>
                </c:ext>
              </c:extLst>
            </c:dLbl>
            <c:dLbl>
              <c:idx val="1"/>
              <c:tx>
                <c:rich>
                  <a:bodyPr/>
                  <a:lstStyle/>
                  <a:p>
                    <a:r>
                      <a:rPr lang="en-US"/>
                      <a:t>Variable</a:t>
                    </a:r>
                    <a:r>
                      <a:rPr lang="en-US" baseline="0"/>
                      <a:t> cost  </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EDAC-4723-9EF6-2AFD0B64267B}"/>
                </c:ext>
              </c:extLst>
            </c:dLbl>
            <c:dLbl>
              <c:idx val="2"/>
              <c:layout>
                <c:manualLayout>
                  <c:x val="-2.033760423022168E-3"/>
                  <c:y val="-4.3830813061582694E-3"/>
                </c:manualLayout>
              </c:layout>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EDAC-4723-9EF6-2AFD0B64267B}"/>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EDAC-4723-9EF6-2AFD0B64267B}"/>
                </c:ext>
              </c:extLst>
            </c:dLbl>
            <c:dLbl>
              <c:idx val="4"/>
              <c:delete val="1"/>
              <c:extLst>
                <c:ext xmlns:c15="http://schemas.microsoft.com/office/drawing/2012/chart" uri="{CE6537A1-D6FC-4f65-9D91-7224C49458BB}"/>
                <c:ext xmlns:c16="http://schemas.microsoft.com/office/drawing/2014/chart" uri="{C3380CC4-5D6E-409C-BE32-E72D297353CC}">
                  <c16:uniqueId val="{00000009-EDAC-4723-9EF6-2AFD0B64267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Grafieke!$C$35:$C$39</c:f>
              <c:numCache>
                <c:formatCode>0</c:formatCode>
                <c:ptCount val="5"/>
                <c:pt idx="0" formatCode="General">
                  <c:v>0</c:v>
                </c:pt>
                <c:pt idx="1">
                  <c:v>36.288018007172695</c:v>
                </c:pt>
                <c:pt idx="2">
                  <c:v>20.245127284171414</c:v>
                </c:pt>
                <c:pt idx="3">
                  <c:v>43.466854708655895</c:v>
                </c:pt>
                <c:pt idx="4" formatCode="General">
                  <c:v>100</c:v>
                </c:pt>
              </c:numCache>
            </c:numRef>
          </c:val>
          <c:extLst>
            <c:ext xmlns:c16="http://schemas.microsoft.com/office/drawing/2014/chart" uri="{C3380CC4-5D6E-409C-BE32-E72D297353CC}">
              <c16:uniqueId val="{0000000A-EDAC-4723-9EF6-2AFD0B64267B}"/>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Grafieke!$D$34</c:f>
              <c:strCache>
                <c:ptCount val="1"/>
                <c:pt idx="0">
                  <c:v>Pointer</c:v>
                </c:pt>
              </c:strCache>
            </c:strRef>
          </c:tx>
          <c:dPt>
            <c:idx val="0"/>
            <c:bubble3D val="0"/>
            <c:spPr>
              <a:noFill/>
              <a:ln>
                <a:noFill/>
              </a:ln>
              <a:effectLst/>
            </c:spPr>
            <c:extLst>
              <c:ext xmlns:c16="http://schemas.microsoft.com/office/drawing/2014/chart" uri="{C3380CC4-5D6E-409C-BE32-E72D297353CC}">
                <c16:uniqueId val="{0000000C-EDAC-4723-9EF6-2AFD0B64267B}"/>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EDAC-4723-9EF6-2AFD0B64267B}"/>
              </c:ext>
            </c:extLst>
          </c:dPt>
          <c:dPt>
            <c:idx val="2"/>
            <c:bubble3D val="0"/>
            <c:spPr>
              <a:noFill/>
              <a:ln>
                <a:noFill/>
              </a:ln>
              <a:effectLst/>
            </c:spPr>
            <c:extLst>
              <c:ext xmlns:c16="http://schemas.microsoft.com/office/drawing/2014/chart" uri="{C3380CC4-5D6E-409C-BE32-E72D297353CC}">
                <c16:uniqueId val="{00000010-EDAC-4723-9EF6-2AFD0B64267B}"/>
              </c:ext>
            </c:extLst>
          </c:dPt>
          <c:val>
            <c:numRef>
              <c:f>Grafieke!$F$35:$F$37</c:f>
              <c:numCache>
                <c:formatCode>General</c:formatCode>
                <c:ptCount val="3"/>
                <c:pt idx="0" formatCode="0">
                  <c:v>43.466854708655895</c:v>
                </c:pt>
                <c:pt idx="1">
                  <c:v>1</c:v>
                </c:pt>
                <c:pt idx="2" formatCode="0">
                  <c:v>155.53314529134411</c:v>
                </c:pt>
              </c:numCache>
            </c:numRef>
          </c:val>
          <c:extLst>
            <c:ext xmlns:c16="http://schemas.microsoft.com/office/drawing/2014/chart" uri="{C3380CC4-5D6E-409C-BE32-E72D297353CC}">
              <c16:uniqueId val="{00000011-EDAC-4723-9EF6-2AFD0B64267B}"/>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Soybean</a:t>
            </a:r>
            <a:r>
              <a:rPr lang="en-GB" baseline="0"/>
              <a:t> profitability</a:t>
            </a:r>
            <a:endParaRPr lang="en-GB"/>
          </a:p>
        </c:rich>
      </c:tx>
      <c:overlay val="0"/>
    </c:title>
    <c:autoTitleDeleted val="0"/>
    <c:plotArea>
      <c:layout/>
      <c:doughnutChart>
        <c:varyColors val="1"/>
        <c:ser>
          <c:idx val="0"/>
          <c:order val="0"/>
          <c:tx>
            <c:strRef>
              <c:f>Grafieke!$A$51</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B00F-4329-8C26-BB18252545FA}"/>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B00F-4329-8C26-BB18252545FA}"/>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B00F-4329-8C26-BB18252545FA}"/>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B00F-4329-8C26-BB18252545FA}"/>
              </c:ext>
            </c:extLst>
          </c:dPt>
          <c:dPt>
            <c:idx val="4"/>
            <c:bubble3D val="0"/>
            <c:spPr>
              <a:noFill/>
              <a:ln>
                <a:noFill/>
              </a:ln>
              <a:effectLst/>
            </c:spPr>
            <c:extLst>
              <c:ext xmlns:c16="http://schemas.microsoft.com/office/drawing/2014/chart" uri="{C3380CC4-5D6E-409C-BE32-E72D297353CC}">
                <c16:uniqueId val="{00000009-B00F-4329-8C26-BB18252545FA}"/>
              </c:ext>
            </c:extLst>
          </c:dPt>
          <c:dLbls>
            <c:dLbl>
              <c:idx val="0"/>
              <c:delete val="1"/>
              <c:extLst>
                <c:ext xmlns:c15="http://schemas.microsoft.com/office/drawing/2012/chart" uri="{CE6537A1-D6FC-4f65-9D91-7224C49458BB}"/>
                <c:ext xmlns:c16="http://schemas.microsoft.com/office/drawing/2014/chart" uri="{C3380CC4-5D6E-409C-BE32-E72D297353CC}">
                  <c16:uniqueId val="{00000001-B00F-4329-8C26-BB18252545FA}"/>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B00F-4329-8C26-BB18252545FA}"/>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B00F-4329-8C26-BB18252545FA}"/>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B00F-4329-8C26-BB18252545FA}"/>
                </c:ext>
              </c:extLst>
            </c:dLbl>
            <c:dLbl>
              <c:idx val="4"/>
              <c:delete val="1"/>
              <c:extLst>
                <c:ext xmlns:c15="http://schemas.microsoft.com/office/drawing/2012/chart" uri="{CE6537A1-D6FC-4f65-9D91-7224C49458BB}"/>
                <c:ext xmlns:c16="http://schemas.microsoft.com/office/drawing/2014/chart" uri="{C3380CC4-5D6E-409C-BE32-E72D297353CC}">
                  <c16:uniqueId val="{00000009-B00F-4329-8C26-BB18252545FA}"/>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Grafieke!$C$52:$C$56</c:f>
              <c:numCache>
                <c:formatCode>0</c:formatCode>
                <c:ptCount val="5"/>
                <c:pt idx="0" formatCode="General">
                  <c:v>0</c:v>
                </c:pt>
                <c:pt idx="1">
                  <c:v>40.945214427988105</c:v>
                </c:pt>
                <c:pt idx="2">
                  <c:v>17.19131566970097</c:v>
                </c:pt>
                <c:pt idx="3">
                  <c:v>41.863469902310918</c:v>
                </c:pt>
                <c:pt idx="4" formatCode="General">
                  <c:v>100</c:v>
                </c:pt>
              </c:numCache>
            </c:numRef>
          </c:val>
          <c:extLst>
            <c:ext xmlns:c16="http://schemas.microsoft.com/office/drawing/2014/chart" uri="{C3380CC4-5D6E-409C-BE32-E72D297353CC}">
              <c16:uniqueId val="{0000000A-B00F-4329-8C26-BB18252545FA}"/>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Grafieke!$D$51</c:f>
              <c:strCache>
                <c:ptCount val="1"/>
                <c:pt idx="0">
                  <c:v>Pointer</c:v>
                </c:pt>
              </c:strCache>
            </c:strRef>
          </c:tx>
          <c:dPt>
            <c:idx val="0"/>
            <c:bubble3D val="0"/>
            <c:spPr>
              <a:noFill/>
              <a:ln>
                <a:noFill/>
              </a:ln>
              <a:effectLst/>
            </c:spPr>
            <c:extLst>
              <c:ext xmlns:c16="http://schemas.microsoft.com/office/drawing/2014/chart" uri="{C3380CC4-5D6E-409C-BE32-E72D297353CC}">
                <c16:uniqueId val="{0000000C-B00F-4329-8C26-BB18252545FA}"/>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B00F-4329-8C26-BB18252545FA}"/>
              </c:ext>
            </c:extLst>
          </c:dPt>
          <c:dPt>
            <c:idx val="2"/>
            <c:bubble3D val="0"/>
            <c:spPr>
              <a:noFill/>
              <a:ln>
                <a:noFill/>
              </a:ln>
              <a:effectLst/>
            </c:spPr>
            <c:extLst>
              <c:ext xmlns:c16="http://schemas.microsoft.com/office/drawing/2014/chart" uri="{C3380CC4-5D6E-409C-BE32-E72D297353CC}">
                <c16:uniqueId val="{00000010-B00F-4329-8C26-BB18252545FA}"/>
              </c:ext>
            </c:extLst>
          </c:dPt>
          <c:val>
            <c:numRef>
              <c:f>Grafieke!$F$52:$F$54</c:f>
              <c:numCache>
                <c:formatCode>General</c:formatCode>
                <c:ptCount val="3"/>
                <c:pt idx="0" formatCode="0">
                  <c:v>41.863469902310918</c:v>
                </c:pt>
                <c:pt idx="1">
                  <c:v>1</c:v>
                </c:pt>
                <c:pt idx="2" formatCode="0">
                  <c:v>157.13653009768908</c:v>
                </c:pt>
              </c:numCache>
            </c:numRef>
          </c:val>
          <c:extLst>
            <c:ext xmlns:c16="http://schemas.microsoft.com/office/drawing/2014/chart" uri="{C3380CC4-5D6E-409C-BE32-E72D297353CC}">
              <c16:uniqueId val="{00000011-B00F-4329-8C26-BB18252545FA}"/>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Maize</a:t>
            </a:r>
            <a:r>
              <a:rPr lang="en-GB" baseline="0"/>
              <a:t> profitability </a:t>
            </a:r>
            <a:r>
              <a:rPr lang="en-GB" sz="1100" b="0" baseline="0"/>
              <a:t>(Average yield)</a:t>
            </a:r>
            <a:endParaRPr lang="en-GB" b="0"/>
          </a:p>
        </c:rich>
      </c:tx>
      <c:overlay val="0"/>
    </c:title>
    <c:autoTitleDeleted val="0"/>
    <c:plotArea>
      <c:layout>
        <c:manualLayout>
          <c:layoutTarget val="inner"/>
          <c:xMode val="edge"/>
          <c:yMode val="edge"/>
          <c:x val="0.31595315843735494"/>
          <c:y val="0.21822815626307582"/>
          <c:w val="0.37018027676117948"/>
          <c:h val="0.77913437697758137"/>
        </c:manualLayout>
      </c:layout>
      <c:doughnutChart>
        <c:varyColors val="1"/>
        <c:ser>
          <c:idx val="0"/>
          <c:order val="0"/>
          <c:tx>
            <c:strRef>
              <c:f>Grafieke!$A$17</c:f>
              <c:strCache>
                <c:ptCount val="1"/>
                <c:pt idx="0">
                  <c:v>Winsgewendheid: Mielies (Gemid opbrengs)</c:v>
                </c:pt>
              </c:strCache>
            </c:strRef>
          </c:tx>
          <c:explosion val="2"/>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5DB1-4D53-8B4E-3D0209A83A32}"/>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5DB1-4D53-8B4E-3D0209A83A32}"/>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5DB1-4D53-8B4E-3D0209A83A32}"/>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5DB1-4D53-8B4E-3D0209A83A32}"/>
              </c:ext>
            </c:extLst>
          </c:dPt>
          <c:dPt>
            <c:idx val="4"/>
            <c:bubble3D val="0"/>
            <c:spPr>
              <a:noFill/>
              <a:ln>
                <a:noFill/>
              </a:ln>
              <a:effectLst/>
            </c:spPr>
            <c:extLst>
              <c:ext xmlns:c16="http://schemas.microsoft.com/office/drawing/2014/chart" uri="{C3380CC4-5D6E-409C-BE32-E72D297353CC}">
                <c16:uniqueId val="{00000009-5DB1-4D53-8B4E-3D0209A83A32}"/>
              </c:ext>
            </c:extLst>
          </c:dPt>
          <c:dLbls>
            <c:dLbl>
              <c:idx val="0"/>
              <c:delete val="1"/>
              <c:extLst>
                <c:ext xmlns:c15="http://schemas.microsoft.com/office/drawing/2012/chart" uri="{CE6537A1-D6FC-4f65-9D91-7224C49458BB}"/>
                <c:ext xmlns:c16="http://schemas.microsoft.com/office/drawing/2014/chart" uri="{C3380CC4-5D6E-409C-BE32-E72D297353CC}">
                  <c16:uniqueId val="{00000001-5DB1-4D53-8B4E-3D0209A83A32}"/>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5DB1-4D53-8B4E-3D0209A83A32}"/>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5DB1-4D53-8B4E-3D0209A83A32}"/>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5DB1-4D53-8B4E-3D0209A83A32}"/>
                </c:ext>
              </c:extLst>
            </c:dLbl>
            <c:dLbl>
              <c:idx val="4"/>
              <c:delete val="1"/>
              <c:extLst>
                <c:ext xmlns:c15="http://schemas.microsoft.com/office/drawing/2012/chart" uri="{CE6537A1-D6FC-4f65-9D91-7224C49458BB}"/>
                <c:ext xmlns:c16="http://schemas.microsoft.com/office/drawing/2014/chart" uri="{C3380CC4-5D6E-409C-BE32-E72D297353CC}">
                  <c16:uniqueId val="{00000009-5DB1-4D53-8B4E-3D0209A83A32}"/>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Grafieke!$C$18:$C$22</c:f>
              <c:numCache>
                <c:formatCode>0</c:formatCode>
                <c:ptCount val="5"/>
                <c:pt idx="0" formatCode="General">
                  <c:v>0</c:v>
                </c:pt>
                <c:pt idx="1">
                  <c:v>42.122805217422446</c:v>
                </c:pt>
                <c:pt idx="2">
                  <c:v>18.175787685613201</c:v>
                </c:pt>
                <c:pt idx="3">
                  <c:v>39.701407096964353</c:v>
                </c:pt>
                <c:pt idx="4">
                  <c:v>100</c:v>
                </c:pt>
              </c:numCache>
            </c:numRef>
          </c:val>
          <c:extLst>
            <c:ext xmlns:c16="http://schemas.microsoft.com/office/drawing/2014/chart" uri="{C3380CC4-5D6E-409C-BE32-E72D297353CC}">
              <c16:uniqueId val="{0000000A-5DB1-4D53-8B4E-3D0209A83A32}"/>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5DB1-4D53-8B4E-3D0209A83A32}"/>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5DB1-4D53-8B4E-3D0209A83A32}"/>
              </c:ext>
            </c:extLst>
          </c:dPt>
          <c:dPt>
            <c:idx val="2"/>
            <c:bubble3D val="0"/>
            <c:spPr>
              <a:noFill/>
              <a:ln>
                <a:noFill/>
              </a:ln>
              <a:effectLst/>
            </c:spPr>
            <c:extLst>
              <c:ext xmlns:c16="http://schemas.microsoft.com/office/drawing/2014/chart" uri="{C3380CC4-5D6E-409C-BE32-E72D297353CC}">
                <c16:uniqueId val="{00000010-5DB1-4D53-8B4E-3D0209A83A32}"/>
              </c:ext>
            </c:extLst>
          </c:dPt>
          <c:val>
            <c:numRef>
              <c:f>Grafieke!$F$18:$F$20</c:f>
              <c:numCache>
                <c:formatCode>General</c:formatCode>
                <c:ptCount val="3"/>
                <c:pt idx="0" formatCode="0">
                  <c:v>39.701407096964353</c:v>
                </c:pt>
                <c:pt idx="1">
                  <c:v>1</c:v>
                </c:pt>
                <c:pt idx="2" formatCode="0">
                  <c:v>159.29859290303565</c:v>
                </c:pt>
              </c:numCache>
            </c:numRef>
          </c:val>
          <c:extLst>
            <c:ext xmlns:c16="http://schemas.microsoft.com/office/drawing/2014/chart" uri="{C3380CC4-5D6E-409C-BE32-E72D297353CC}">
              <c16:uniqueId val="{00000011-5DB1-4D53-8B4E-3D0209A83A32}"/>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n-ZA" b="1"/>
              <a:t>Maize</a:t>
            </a:r>
            <a:r>
              <a:rPr lang="en-ZA" b="1" baseline="0"/>
              <a:t> profitability </a:t>
            </a:r>
            <a:r>
              <a:rPr lang="en-ZA" sz="1200" b="1" baseline="0"/>
              <a:t>(Higher yield)</a:t>
            </a:r>
            <a:endParaRPr lang="en-ZA" sz="1050" b="1"/>
          </a:p>
        </c:rich>
      </c:tx>
      <c:layout>
        <c:manualLayout>
          <c:xMode val="edge"/>
          <c:yMode val="edge"/>
          <c:x val="0.28843510540431561"/>
          <c:y val="4.7382498526292366E-2"/>
        </c:manualLayout>
      </c:layout>
      <c:overlay val="0"/>
    </c:title>
    <c:autoTitleDeleted val="0"/>
    <c:plotArea>
      <c:layout>
        <c:manualLayout>
          <c:layoutTarget val="inner"/>
          <c:xMode val="edge"/>
          <c:yMode val="edge"/>
          <c:x val="0.31595315843735494"/>
          <c:y val="0.21822815626307582"/>
          <c:w val="0.37018027676117948"/>
          <c:h val="0.77913437697758137"/>
        </c:manualLayout>
      </c:layout>
      <c:doughnutChart>
        <c:varyColors val="1"/>
        <c:ser>
          <c:idx val="0"/>
          <c:order val="0"/>
          <c:tx>
            <c:strRef>
              <c:f>Grafieke!$A$1</c:f>
              <c:strCache>
                <c:ptCount val="1"/>
                <c:pt idx="0">
                  <c:v>Winsgewendheid: Mielies (Hoer opbrengs)</c:v>
                </c:pt>
              </c:strCache>
            </c:strRef>
          </c:tx>
          <c:explosion val="2"/>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560E-44B0-BC2F-2925787B4C27}"/>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560E-44B0-BC2F-2925787B4C27}"/>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560E-44B0-BC2F-2925787B4C27}"/>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560E-44B0-BC2F-2925787B4C27}"/>
              </c:ext>
            </c:extLst>
          </c:dPt>
          <c:dPt>
            <c:idx val="4"/>
            <c:bubble3D val="0"/>
            <c:spPr>
              <a:noFill/>
              <a:ln>
                <a:noFill/>
              </a:ln>
              <a:effectLst/>
            </c:spPr>
            <c:extLst>
              <c:ext xmlns:c16="http://schemas.microsoft.com/office/drawing/2014/chart" uri="{C3380CC4-5D6E-409C-BE32-E72D297353CC}">
                <c16:uniqueId val="{00000009-560E-44B0-BC2F-2925787B4C27}"/>
              </c:ext>
            </c:extLst>
          </c:dPt>
          <c:dLbls>
            <c:dLbl>
              <c:idx val="0"/>
              <c:delete val="1"/>
              <c:extLst>
                <c:ext xmlns:c15="http://schemas.microsoft.com/office/drawing/2012/chart" uri="{CE6537A1-D6FC-4f65-9D91-7224C49458BB}"/>
                <c:ext xmlns:c16="http://schemas.microsoft.com/office/drawing/2014/chart" uri="{C3380CC4-5D6E-409C-BE32-E72D297353CC}">
                  <c16:uniqueId val="{00000001-560E-44B0-BC2F-2925787B4C27}"/>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560E-44B0-BC2F-2925787B4C27}"/>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560E-44B0-BC2F-2925787B4C27}"/>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560E-44B0-BC2F-2925787B4C27}"/>
                </c:ext>
              </c:extLst>
            </c:dLbl>
            <c:dLbl>
              <c:idx val="4"/>
              <c:delete val="1"/>
              <c:extLst>
                <c:ext xmlns:c15="http://schemas.microsoft.com/office/drawing/2012/chart" uri="{CE6537A1-D6FC-4f65-9D91-7224C49458BB}"/>
                <c:ext xmlns:c16="http://schemas.microsoft.com/office/drawing/2014/chart" uri="{C3380CC4-5D6E-409C-BE32-E72D297353CC}">
                  <c16:uniqueId val="{00000009-560E-44B0-BC2F-2925787B4C27}"/>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Grafieke!$C$2:$C$6</c:f>
              <c:numCache>
                <c:formatCode>0</c:formatCode>
                <c:ptCount val="5"/>
                <c:pt idx="0" formatCode="General">
                  <c:v>0</c:v>
                </c:pt>
                <c:pt idx="1">
                  <c:v>42.407339858806033</c:v>
                </c:pt>
                <c:pt idx="2">
                  <c:v>13.757032374433084</c:v>
                </c:pt>
                <c:pt idx="3">
                  <c:v>43.835627766760879</c:v>
                </c:pt>
                <c:pt idx="4" formatCode="General">
                  <c:v>100</c:v>
                </c:pt>
              </c:numCache>
            </c:numRef>
          </c:val>
          <c:extLst>
            <c:ext xmlns:c16="http://schemas.microsoft.com/office/drawing/2014/chart" uri="{C3380CC4-5D6E-409C-BE32-E72D297353CC}">
              <c16:uniqueId val="{0000000A-560E-44B0-BC2F-2925787B4C27}"/>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560E-44B0-BC2F-2925787B4C27}"/>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560E-44B0-BC2F-2925787B4C27}"/>
              </c:ext>
            </c:extLst>
          </c:dPt>
          <c:dPt>
            <c:idx val="2"/>
            <c:bubble3D val="0"/>
            <c:spPr>
              <a:noFill/>
              <a:ln>
                <a:noFill/>
              </a:ln>
              <a:effectLst/>
            </c:spPr>
            <c:extLst>
              <c:ext xmlns:c16="http://schemas.microsoft.com/office/drawing/2014/chart" uri="{C3380CC4-5D6E-409C-BE32-E72D297353CC}">
                <c16:uniqueId val="{00000010-560E-44B0-BC2F-2925787B4C27}"/>
              </c:ext>
            </c:extLst>
          </c:dPt>
          <c:val>
            <c:numRef>
              <c:f>Grafieke!$F$2:$F$4</c:f>
              <c:numCache>
                <c:formatCode>General</c:formatCode>
                <c:ptCount val="3"/>
                <c:pt idx="0" formatCode="0">
                  <c:v>43.835627766760879</c:v>
                </c:pt>
                <c:pt idx="1">
                  <c:v>1</c:v>
                </c:pt>
                <c:pt idx="2" formatCode="0">
                  <c:v>155.16437223323913</c:v>
                </c:pt>
              </c:numCache>
            </c:numRef>
          </c:val>
          <c:extLst>
            <c:ext xmlns:c16="http://schemas.microsoft.com/office/drawing/2014/chart" uri="{C3380CC4-5D6E-409C-BE32-E72D297353CC}">
              <c16:uniqueId val="{00000011-560E-44B0-BC2F-2925787B4C2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Mielie</a:t>
            </a:r>
            <a:r>
              <a:rPr lang="en-GB" baseline="0"/>
              <a:t>winsgewendheid </a:t>
            </a:r>
            <a:r>
              <a:rPr lang="en-GB" sz="1200" b="0" baseline="0"/>
              <a:t>(Gemiddelde opbrengs)</a:t>
            </a:r>
            <a:endParaRPr lang="en-GB" b="0"/>
          </a:p>
        </c:rich>
      </c:tx>
      <c:overlay val="0"/>
    </c:title>
    <c:autoTitleDeleted val="0"/>
    <c:plotArea>
      <c:layout>
        <c:manualLayout>
          <c:layoutTarget val="inner"/>
          <c:xMode val="edge"/>
          <c:yMode val="edge"/>
          <c:x val="0.32654288831570549"/>
          <c:y val="0.21822819758293505"/>
          <c:w val="0.37018027676117948"/>
          <c:h val="0.77913437697758137"/>
        </c:manualLayout>
      </c:layout>
      <c:doughnutChart>
        <c:varyColors val="1"/>
        <c:ser>
          <c:idx val="0"/>
          <c:order val="0"/>
          <c:tx>
            <c:strRef>
              <c:f>Grafieke!$A$17</c:f>
              <c:strCache>
                <c:ptCount val="1"/>
                <c:pt idx="0">
                  <c:v>Winsgewendheid: Mielies (Gemid opbrengs)</c:v>
                </c:pt>
              </c:strCache>
            </c:strRef>
          </c:tx>
          <c:explosion val="2"/>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3165-46E7-B835-90500ECC02E7}"/>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3165-46E7-B835-90500ECC02E7}"/>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3165-46E7-B835-90500ECC02E7}"/>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3165-46E7-B835-90500ECC02E7}"/>
              </c:ext>
            </c:extLst>
          </c:dPt>
          <c:dPt>
            <c:idx val="4"/>
            <c:bubble3D val="0"/>
            <c:spPr>
              <a:noFill/>
              <a:ln>
                <a:noFill/>
              </a:ln>
              <a:effectLst/>
            </c:spPr>
            <c:extLst>
              <c:ext xmlns:c16="http://schemas.microsoft.com/office/drawing/2014/chart" uri="{C3380CC4-5D6E-409C-BE32-E72D297353CC}">
                <c16:uniqueId val="{00000009-3165-46E7-B835-90500ECC02E7}"/>
              </c:ext>
            </c:extLst>
          </c:dPt>
          <c:dLbls>
            <c:dLbl>
              <c:idx val="0"/>
              <c:delete val="1"/>
              <c:extLst>
                <c:ext xmlns:c15="http://schemas.microsoft.com/office/drawing/2012/chart" uri="{CE6537A1-D6FC-4f65-9D91-7224C49458BB}"/>
                <c:ext xmlns:c16="http://schemas.microsoft.com/office/drawing/2014/chart" uri="{C3380CC4-5D6E-409C-BE32-E72D297353CC}">
                  <c16:uniqueId val="{00000001-3165-46E7-B835-90500ECC02E7}"/>
                </c:ext>
              </c:extLst>
            </c:dLbl>
            <c:dLbl>
              <c:idx val="1"/>
              <c:tx>
                <c:rich>
                  <a:bodyPr/>
                  <a:lstStyle/>
                  <a:p>
                    <a:r>
                      <a:rPr lang="en-US" baseline="0"/>
                      <a:t>Veranderlike koste</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3165-46E7-B835-90500ECC02E7}"/>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3165-46E7-B835-90500ECC02E7}"/>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3165-46E7-B835-90500ECC02E7}"/>
                </c:ext>
              </c:extLst>
            </c:dLbl>
            <c:dLbl>
              <c:idx val="4"/>
              <c:delete val="1"/>
              <c:extLst>
                <c:ext xmlns:c15="http://schemas.microsoft.com/office/drawing/2012/chart" uri="{CE6537A1-D6FC-4f65-9D91-7224C49458BB}"/>
                <c:ext xmlns:c16="http://schemas.microsoft.com/office/drawing/2014/chart" uri="{C3380CC4-5D6E-409C-BE32-E72D297353CC}">
                  <c16:uniqueId val="{00000009-3165-46E7-B835-90500ECC02E7}"/>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Grafieke!$C$18:$C$22</c:f>
              <c:numCache>
                <c:formatCode>0</c:formatCode>
                <c:ptCount val="5"/>
                <c:pt idx="0" formatCode="General">
                  <c:v>0</c:v>
                </c:pt>
                <c:pt idx="1">
                  <c:v>42.122805217422446</c:v>
                </c:pt>
                <c:pt idx="2">
                  <c:v>18.175787685613201</c:v>
                </c:pt>
                <c:pt idx="3">
                  <c:v>39.701407096964353</c:v>
                </c:pt>
                <c:pt idx="4">
                  <c:v>100</c:v>
                </c:pt>
              </c:numCache>
            </c:numRef>
          </c:val>
          <c:extLst>
            <c:ext xmlns:c16="http://schemas.microsoft.com/office/drawing/2014/chart" uri="{C3380CC4-5D6E-409C-BE32-E72D297353CC}">
              <c16:uniqueId val="{0000000A-3165-46E7-B835-90500ECC02E7}"/>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Grafieke!$D$1</c:f>
              <c:strCache>
                <c:ptCount val="1"/>
                <c:pt idx="0">
                  <c:v>Pointer</c:v>
                </c:pt>
              </c:strCache>
            </c:strRef>
          </c:tx>
          <c:dPt>
            <c:idx val="0"/>
            <c:bubble3D val="0"/>
            <c:spPr>
              <a:noFill/>
              <a:ln>
                <a:noFill/>
              </a:ln>
              <a:effectLst/>
            </c:spPr>
            <c:extLst>
              <c:ext xmlns:c16="http://schemas.microsoft.com/office/drawing/2014/chart" uri="{C3380CC4-5D6E-409C-BE32-E72D297353CC}">
                <c16:uniqueId val="{0000000C-3165-46E7-B835-90500ECC02E7}"/>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3165-46E7-B835-90500ECC02E7}"/>
              </c:ext>
            </c:extLst>
          </c:dPt>
          <c:dPt>
            <c:idx val="2"/>
            <c:bubble3D val="0"/>
            <c:spPr>
              <a:noFill/>
              <a:ln>
                <a:noFill/>
              </a:ln>
              <a:effectLst/>
            </c:spPr>
            <c:extLst>
              <c:ext xmlns:c16="http://schemas.microsoft.com/office/drawing/2014/chart" uri="{C3380CC4-5D6E-409C-BE32-E72D297353CC}">
                <c16:uniqueId val="{00000010-3165-46E7-B835-90500ECC02E7}"/>
              </c:ext>
            </c:extLst>
          </c:dPt>
          <c:val>
            <c:numRef>
              <c:f>Grafieke!$F$18:$F$20</c:f>
              <c:numCache>
                <c:formatCode>General</c:formatCode>
                <c:ptCount val="3"/>
                <c:pt idx="0" formatCode="0">
                  <c:v>39.701407096964353</c:v>
                </c:pt>
                <c:pt idx="1">
                  <c:v>1</c:v>
                </c:pt>
                <c:pt idx="2" formatCode="0">
                  <c:v>159.29859290303565</c:v>
                </c:pt>
              </c:numCache>
            </c:numRef>
          </c:val>
          <c:extLst>
            <c:ext xmlns:c16="http://schemas.microsoft.com/office/drawing/2014/chart" uri="{C3380CC4-5D6E-409C-BE32-E72D297353CC}">
              <c16:uniqueId val="{00000011-3165-46E7-B835-90500ECC02E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Sonneblomwinsgewendheid</a:t>
            </a:r>
          </a:p>
        </c:rich>
      </c:tx>
      <c:overlay val="0"/>
    </c:title>
    <c:autoTitleDeleted val="0"/>
    <c:plotArea>
      <c:layout>
        <c:manualLayout>
          <c:layoutTarget val="inner"/>
          <c:xMode val="edge"/>
          <c:yMode val="edge"/>
          <c:x val="0.3138312504815724"/>
          <c:y val="0.20618906700407469"/>
          <c:w val="0.37233766297638776"/>
          <c:h val="0.79165019711181517"/>
        </c:manualLayout>
      </c:layout>
      <c:doughnutChart>
        <c:varyColors val="1"/>
        <c:ser>
          <c:idx val="0"/>
          <c:order val="0"/>
          <c:tx>
            <c:strRef>
              <c:f>Grafieke!$A$34</c:f>
              <c:strCache>
                <c:ptCount val="1"/>
                <c:pt idx="0">
                  <c:v>Winsgewendheid: Sonneblom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17FD-412F-873E-C961BFCA90A3}"/>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17FD-412F-873E-C961BFCA90A3}"/>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17FD-412F-873E-C961BFCA90A3}"/>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17FD-412F-873E-C961BFCA90A3}"/>
              </c:ext>
            </c:extLst>
          </c:dPt>
          <c:dPt>
            <c:idx val="4"/>
            <c:bubble3D val="0"/>
            <c:spPr>
              <a:noFill/>
              <a:ln>
                <a:noFill/>
              </a:ln>
              <a:effectLst/>
            </c:spPr>
            <c:extLst>
              <c:ext xmlns:c16="http://schemas.microsoft.com/office/drawing/2014/chart" uri="{C3380CC4-5D6E-409C-BE32-E72D297353CC}">
                <c16:uniqueId val="{00000009-17FD-412F-873E-C961BFCA90A3}"/>
              </c:ext>
            </c:extLst>
          </c:dPt>
          <c:dLbls>
            <c:dLbl>
              <c:idx val="0"/>
              <c:delete val="1"/>
              <c:extLst>
                <c:ext xmlns:c15="http://schemas.microsoft.com/office/drawing/2012/chart" uri="{CE6537A1-D6FC-4f65-9D91-7224C49458BB}"/>
                <c:ext xmlns:c16="http://schemas.microsoft.com/office/drawing/2014/chart" uri="{C3380CC4-5D6E-409C-BE32-E72D297353CC}">
                  <c16:uniqueId val="{00000001-17FD-412F-873E-C961BFCA90A3}"/>
                </c:ext>
              </c:extLst>
            </c:dLbl>
            <c:dLbl>
              <c:idx val="1"/>
              <c:tx>
                <c:rich>
                  <a:bodyPr/>
                  <a:lstStyle/>
                  <a:p>
                    <a:r>
                      <a:rPr lang="en-US"/>
                      <a:t>Veranderlike</a:t>
                    </a:r>
                    <a:r>
                      <a:rPr lang="en-US" baseline="0"/>
                      <a:t> koste  </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17FD-412F-873E-C961BFCA90A3}"/>
                </c:ext>
              </c:extLst>
            </c:dLbl>
            <c:dLbl>
              <c:idx val="2"/>
              <c:layout>
                <c:manualLayout>
                  <c:x val="-2.033760423022168E-3"/>
                  <c:y val="-4.3830813061582694E-3"/>
                </c:manualLayout>
              </c:layout>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17FD-412F-873E-C961BFCA90A3}"/>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17FD-412F-873E-C961BFCA90A3}"/>
                </c:ext>
              </c:extLst>
            </c:dLbl>
            <c:dLbl>
              <c:idx val="4"/>
              <c:delete val="1"/>
              <c:extLst>
                <c:ext xmlns:c15="http://schemas.microsoft.com/office/drawing/2012/chart" uri="{CE6537A1-D6FC-4f65-9D91-7224C49458BB}"/>
                <c:ext xmlns:c16="http://schemas.microsoft.com/office/drawing/2014/chart" uri="{C3380CC4-5D6E-409C-BE32-E72D297353CC}">
                  <c16:uniqueId val="{00000009-17FD-412F-873E-C961BFCA90A3}"/>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Grafieke!$C$35:$C$39</c:f>
              <c:numCache>
                <c:formatCode>0</c:formatCode>
                <c:ptCount val="5"/>
                <c:pt idx="0" formatCode="General">
                  <c:v>0</c:v>
                </c:pt>
                <c:pt idx="1">
                  <c:v>36.288018007172695</c:v>
                </c:pt>
                <c:pt idx="2">
                  <c:v>20.245127284171414</c:v>
                </c:pt>
                <c:pt idx="3">
                  <c:v>43.466854708655895</c:v>
                </c:pt>
                <c:pt idx="4" formatCode="General">
                  <c:v>100</c:v>
                </c:pt>
              </c:numCache>
            </c:numRef>
          </c:val>
          <c:extLst>
            <c:ext xmlns:c16="http://schemas.microsoft.com/office/drawing/2014/chart" uri="{C3380CC4-5D6E-409C-BE32-E72D297353CC}">
              <c16:uniqueId val="{0000000A-17FD-412F-873E-C961BFCA90A3}"/>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Grafieke!$D$34</c:f>
              <c:strCache>
                <c:ptCount val="1"/>
                <c:pt idx="0">
                  <c:v>Pointer</c:v>
                </c:pt>
              </c:strCache>
            </c:strRef>
          </c:tx>
          <c:dPt>
            <c:idx val="0"/>
            <c:bubble3D val="0"/>
            <c:spPr>
              <a:noFill/>
              <a:ln>
                <a:noFill/>
              </a:ln>
              <a:effectLst/>
            </c:spPr>
            <c:extLst>
              <c:ext xmlns:c16="http://schemas.microsoft.com/office/drawing/2014/chart" uri="{C3380CC4-5D6E-409C-BE32-E72D297353CC}">
                <c16:uniqueId val="{0000000C-17FD-412F-873E-C961BFCA90A3}"/>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17FD-412F-873E-C961BFCA90A3}"/>
              </c:ext>
            </c:extLst>
          </c:dPt>
          <c:dPt>
            <c:idx val="2"/>
            <c:bubble3D val="0"/>
            <c:spPr>
              <a:noFill/>
              <a:ln>
                <a:noFill/>
              </a:ln>
              <a:effectLst/>
            </c:spPr>
            <c:extLst>
              <c:ext xmlns:c16="http://schemas.microsoft.com/office/drawing/2014/chart" uri="{C3380CC4-5D6E-409C-BE32-E72D297353CC}">
                <c16:uniqueId val="{00000010-17FD-412F-873E-C961BFCA90A3}"/>
              </c:ext>
            </c:extLst>
          </c:dPt>
          <c:val>
            <c:numRef>
              <c:f>Grafieke!$F$35:$F$37</c:f>
              <c:numCache>
                <c:formatCode>General</c:formatCode>
                <c:ptCount val="3"/>
                <c:pt idx="0" formatCode="0">
                  <c:v>43.466854708655895</c:v>
                </c:pt>
                <c:pt idx="1">
                  <c:v>1</c:v>
                </c:pt>
                <c:pt idx="2" formatCode="0">
                  <c:v>155.53314529134411</c:v>
                </c:pt>
              </c:numCache>
            </c:numRef>
          </c:val>
          <c:extLst>
            <c:ext xmlns:c16="http://schemas.microsoft.com/office/drawing/2014/chart" uri="{C3380CC4-5D6E-409C-BE32-E72D297353CC}">
              <c16:uniqueId val="{00000011-17FD-412F-873E-C961BFCA90A3}"/>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Sojaboonwinsgewendheid</a:t>
            </a:r>
          </a:p>
        </c:rich>
      </c:tx>
      <c:overlay val="0"/>
    </c:title>
    <c:autoTitleDeleted val="0"/>
    <c:plotArea>
      <c:layout>
        <c:manualLayout>
          <c:layoutTarget val="inner"/>
          <c:xMode val="edge"/>
          <c:yMode val="edge"/>
          <c:x val="0.36037877631048026"/>
          <c:y val="0.21892698412698408"/>
          <c:w val="0.31149726041791997"/>
          <c:h val="0.77872658730158728"/>
        </c:manualLayout>
      </c:layout>
      <c:doughnutChart>
        <c:varyColors val="1"/>
        <c:ser>
          <c:idx val="0"/>
          <c:order val="0"/>
          <c:tx>
            <c:strRef>
              <c:f>Grafieke!$A$51</c:f>
              <c:strCache>
                <c:ptCount val="1"/>
                <c:pt idx="0">
                  <c:v>Winsgewendheid: Sojabone</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EDF3-4EDE-9E13-E459DAF0058C}"/>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EDF3-4EDE-9E13-E459DAF0058C}"/>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EDF3-4EDE-9E13-E459DAF0058C}"/>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EDF3-4EDE-9E13-E459DAF0058C}"/>
              </c:ext>
            </c:extLst>
          </c:dPt>
          <c:dPt>
            <c:idx val="4"/>
            <c:bubble3D val="0"/>
            <c:spPr>
              <a:noFill/>
              <a:ln>
                <a:noFill/>
              </a:ln>
              <a:effectLst/>
            </c:spPr>
            <c:extLst>
              <c:ext xmlns:c16="http://schemas.microsoft.com/office/drawing/2014/chart" uri="{C3380CC4-5D6E-409C-BE32-E72D297353CC}">
                <c16:uniqueId val="{00000009-EDF3-4EDE-9E13-E459DAF0058C}"/>
              </c:ext>
            </c:extLst>
          </c:dPt>
          <c:dLbls>
            <c:dLbl>
              <c:idx val="0"/>
              <c:delete val="1"/>
              <c:extLst>
                <c:ext xmlns:c15="http://schemas.microsoft.com/office/drawing/2012/chart" uri="{CE6537A1-D6FC-4f65-9D91-7224C49458BB}"/>
                <c:ext xmlns:c16="http://schemas.microsoft.com/office/drawing/2014/chart" uri="{C3380CC4-5D6E-409C-BE32-E72D297353CC}">
                  <c16:uniqueId val="{00000001-EDF3-4EDE-9E13-E459DAF0058C}"/>
                </c:ext>
              </c:extLst>
            </c:dLbl>
            <c:dLbl>
              <c:idx val="1"/>
              <c:tx>
                <c:rich>
                  <a:bodyPr/>
                  <a:lstStyle/>
                  <a:p>
                    <a:r>
                      <a:rPr lang="en-US"/>
                      <a:t>Veranderlike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EDF3-4EDE-9E13-E459DAF0058C}"/>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EDF3-4EDE-9E13-E459DAF0058C}"/>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EDF3-4EDE-9E13-E459DAF0058C}"/>
                </c:ext>
              </c:extLst>
            </c:dLbl>
            <c:dLbl>
              <c:idx val="4"/>
              <c:delete val="1"/>
              <c:extLst>
                <c:ext xmlns:c15="http://schemas.microsoft.com/office/drawing/2012/chart" uri="{CE6537A1-D6FC-4f65-9D91-7224C49458BB}"/>
                <c:ext xmlns:c16="http://schemas.microsoft.com/office/drawing/2014/chart" uri="{C3380CC4-5D6E-409C-BE32-E72D297353CC}">
                  <c16:uniqueId val="{00000009-EDF3-4EDE-9E13-E459DAF0058C}"/>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Grafieke!$C$52:$C$56</c:f>
              <c:numCache>
                <c:formatCode>0</c:formatCode>
                <c:ptCount val="5"/>
                <c:pt idx="0" formatCode="General">
                  <c:v>0</c:v>
                </c:pt>
                <c:pt idx="1">
                  <c:v>40.945214427988105</c:v>
                </c:pt>
                <c:pt idx="2">
                  <c:v>17.19131566970097</c:v>
                </c:pt>
                <c:pt idx="3">
                  <c:v>41.863469902310918</c:v>
                </c:pt>
                <c:pt idx="4" formatCode="General">
                  <c:v>100</c:v>
                </c:pt>
              </c:numCache>
            </c:numRef>
          </c:val>
          <c:extLst>
            <c:ext xmlns:c16="http://schemas.microsoft.com/office/drawing/2014/chart" uri="{C3380CC4-5D6E-409C-BE32-E72D297353CC}">
              <c16:uniqueId val="{0000000A-EDF3-4EDE-9E13-E459DAF0058C}"/>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Grafieke!$D$51</c:f>
              <c:strCache>
                <c:ptCount val="1"/>
                <c:pt idx="0">
                  <c:v>Pointer</c:v>
                </c:pt>
              </c:strCache>
            </c:strRef>
          </c:tx>
          <c:dPt>
            <c:idx val="0"/>
            <c:bubble3D val="0"/>
            <c:spPr>
              <a:noFill/>
              <a:ln>
                <a:noFill/>
              </a:ln>
              <a:effectLst/>
            </c:spPr>
            <c:extLst>
              <c:ext xmlns:c16="http://schemas.microsoft.com/office/drawing/2014/chart" uri="{C3380CC4-5D6E-409C-BE32-E72D297353CC}">
                <c16:uniqueId val="{0000000C-EDF3-4EDE-9E13-E459DAF0058C}"/>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EDF3-4EDE-9E13-E459DAF0058C}"/>
              </c:ext>
            </c:extLst>
          </c:dPt>
          <c:dPt>
            <c:idx val="2"/>
            <c:bubble3D val="0"/>
            <c:spPr>
              <a:noFill/>
              <a:ln>
                <a:noFill/>
              </a:ln>
              <a:effectLst/>
            </c:spPr>
            <c:extLst>
              <c:ext xmlns:c16="http://schemas.microsoft.com/office/drawing/2014/chart" uri="{C3380CC4-5D6E-409C-BE32-E72D297353CC}">
                <c16:uniqueId val="{00000010-EDF3-4EDE-9E13-E459DAF0058C}"/>
              </c:ext>
            </c:extLst>
          </c:dPt>
          <c:val>
            <c:numRef>
              <c:f>Grafieke!$F$52:$F$54</c:f>
              <c:numCache>
                <c:formatCode>General</c:formatCode>
                <c:ptCount val="3"/>
                <c:pt idx="0" formatCode="0">
                  <c:v>41.863469902310918</c:v>
                </c:pt>
                <c:pt idx="1">
                  <c:v>1</c:v>
                </c:pt>
                <c:pt idx="2" formatCode="0">
                  <c:v>157.13653009768908</c:v>
                </c:pt>
              </c:numCache>
            </c:numRef>
          </c:val>
          <c:extLst>
            <c:ext xmlns:c16="http://schemas.microsoft.com/office/drawing/2014/chart" uri="{C3380CC4-5D6E-409C-BE32-E72D297353CC}">
              <c16:uniqueId val="{00000011-EDF3-4EDE-9E13-E459DAF0058C}"/>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Groundnuts</a:t>
            </a:r>
            <a:r>
              <a:rPr lang="en-GB" baseline="0"/>
              <a:t> profitability</a:t>
            </a:r>
            <a:endParaRPr lang="en-GB"/>
          </a:p>
        </c:rich>
      </c:tx>
      <c:overlay val="0"/>
    </c:title>
    <c:autoTitleDeleted val="0"/>
    <c:plotArea>
      <c:layout>
        <c:manualLayout>
          <c:layoutTarget val="inner"/>
          <c:xMode val="edge"/>
          <c:yMode val="edge"/>
          <c:x val="0.36050675854622982"/>
          <c:y val="0.25924444444444444"/>
          <c:w val="0.29509918571388244"/>
          <c:h val="0.73840912698412697"/>
        </c:manualLayout>
      </c:layout>
      <c:doughnutChart>
        <c:varyColors val="1"/>
        <c:ser>
          <c:idx val="0"/>
          <c:order val="0"/>
          <c:tx>
            <c:strRef>
              <c:f>Grafieke!$A$71</c:f>
              <c:strCache>
                <c:ptCount val="1"/>
                <c:pt idx="0">
                  <c:v>Winsgewendheid: Sorghum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7C54-4DA4-BAD7-30128E3364E0}"/>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7C54-4DA4-BAD7-30128E3364E0}"/>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7C54-4DA4-BAD7-30128E3364E0}"/>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7C54-4DA4-BAD7-30128E3364E0}"/>
              </c:ext>
            </c:extLst>
          </c:dPt>
          <c:dPt>
            <c:idx val="4"/>
            <c:bubble3D val="0"/>
            <c:spPr>
              <a:noFill/>
              <a:ln>
                <a:noFill/>
              </a:ln>
              <a:effectLst/>
            </c:spPr>
            <c:extLst>
              <c:ext xmlns:c16="http://schemas.microsoft.com/office/drawing/2014/chart" uri="{C3380CC4-5D6E-409C-BE32-E72D297353CC}">
                <c16:uniqueId val="{00000009-7C54-4DA4-BAD7-30128E3364E0}"/>
              </c:ext>
            </c:extLst>
          </c:dPt>
          <c:dLbls>
            <c:dLbl>
              <c:idx val="0"/>
              <c:delete val="1"/>
              <c:extLst>
                <c:ext xmlns:c15="http://schemas.microsoft.com/office/drawing/2012/chart" uri="{CE6537A1-D6FC-4f65-9D91-7224C49458BB}"/>
                <c:ext xmlns:c16="http://schemas.microsoft.com/office/drawing/2014/chart" uri="{C3380CC4-5D6E-409C-BE32-E72D297353CC}">
                  <c16:uniqueId val="{00000001-7C54-4DA4-BAD7-30128E3364E0}"/>
                </c:ext>
              </c:extLst>
            </c:dLbl>
            <c:dLbl>
              <c:idx val="1"/>
              <c:tx>
                <c:rich>
                  <a:bodyPr/>
                  <a:lstStyle/>
                  <a:p>
                    <a:r>
                      <a:rPr lang="en-US"/>
                      <a:t>Variable</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7C54-4DA4-BAD7-30128E3364E0}"/>
                </c:ext>
              </c:extLst>
            </c:dLbl>
            <c:dLbl>
              <c:idx val="2"/>
              <c:tx>
                <c:rich>
                  <a:bodyPr/>
                  <a:lstStyle/>
                  <a:p>
                    <a:r>
                      <a:rPr lang="en-US"/>
                      <a:t>Fixed</a:t>
                    </a:r>
                    <a:r>
                      <a:rPr lang="en-US" baseline="0"/>
                      <a:t> cost</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7C54-4DA4-BAD7-30128E3364E0}"/>
                </c:ext>
              </c:extLst>
            </c:dLbl>
            <c:dLbl>
              <c:idx val="3"/>
              <c:tx>
                <c:rich>
                  <a:bodyPr/>
                  <a:lstStyle/>
                  <a:p>
                    <a:r>
                      <a:rPr lang="en-US"/>
                      <a:t>Profit</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7C54-4DA4-BAD7-30128E3364E0}"/>
                </c:ext>
              </c:extLst>
            </c:dLbl>
            <c:dLbl>
              <c:idx val="4"/>
              <c:delete val="1"/>
              <c:extLst>
                <c:ext xmlns:c15="http://schemas.microsoft.com/office/drawing/2012/chart" uri="{CE6537A1-D6FC-4f65-9D91-7224C49458BB}"/>
                <c:ext xmlns:c16="http://schemas.microsoft.com/office/drawing/2014/chart" uri="{C3380CC4-5D6E-409C-BE32-E72D297353CC}">
                  <c16:uniqueId val="{00000009-7C54-4DA4-BAD7-30128E3364E0}"/>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Grafieke!$C$72:$C$76</c:f>
              <c:numCache>
                <c:formatCode>0</c:formatCode>
                <c:ptCount val="5"/>
                <c:pt idx="0" formatCode="General">
                  <c:v>0</c:v>
                </c:pt>
                <c:pt idx="1">
                  <c:v>27.773395412107021</c:v>
                </c:pt>
                <c:pt idx="2">
                  <c:v>17.952063094154873</c:v>
                </c:pt>
                <c:pt idx="3">
                  <c:v>54.274541493738106</c:v>
                </c:pt>
                <c:pt idx="4" formatCode="General">
                  <c:v>100</c:v>
                </c:pt>
              </c:numCache>
            </c:numRef>
          </c:val>
          <c:extLst>
            <c:ext xmlns:c16="http://schemas.microsoft.com/office/drawing/2014/chart" uri="{C3380CC4-5D6E-409C-BE32-E72D297353CC}">
              <c16:uniqueId val="{0000000A-7C54-4DA4-BAD7-30128E3364E0}"/>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Grafieke!$D$71</c:f>
              <c:strCache>
                <c:ptCount val="1"/>
                <c:pt idx="0">
                  <c:v>Pointer</c:v>
                </c:pt>
              </c:strCache>
            </c:strRef>
          </c:tx>
          <c:dPt>
            <c:idx val="0"/>
            <c:bubble3D val="0"/>
            <c:spPr>
              <a:noFill/>
              <a:ln>
                <a:noFill/>
              </a:ln>
              <a:effectLst/>
            </c:spPr>
            <c:extLst>
              <c:ext xmlns:c16="http://schemas.microsoft.com/office/drawing/2014/chart" uri="{C3380CC4-5D6E-409C-BE32-E72D297353CC}">
                <c16:uniqueId val="{0000000C-7C54-4DA4-BAD7-30128E3364E0}"/>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7C54-4DA4-BAD7-30128E3364E0}"/>
              </c:ext>
            </c:extLst>
          </c:dPt>
          <c:dPt>
            <c:idx val="2"/>
            <c:bubble3D val="0"/>
            <c:spPr>
              <a:noFill/>
              <a:ln>
                <a:noFill/>
              </a:ln>
              <a:effectLst/>
            </c:spPr>
            <c:extLst>
              <c:ext xmlns:c16="http://schemas.microsoft.com/office/drawing/2014/chart" uri="{C3380CC4-5D6E-409C-BE32-E72D297353CC}">
                <c16:uniqueId val="{00000010-7C54-4DA4-BAD7-30128E3364E0}"/>
              </c:ext>
            </c:extLst>
          </c:dPt>
          <c:val>
            <c:numRef>
              <c:f>Grafieke!$F$72:$F$74</c:f>
              <c:numCache>
                <c:formatCode>General</c:formatCode>
                <c:ptCount val="3"/>
                <c:pt idx="0" formatCode="0">
                  <c:v>54.274541493738106</c:v>
                </c:pt>
                <c:pt idx="1">
                  <c:v>1</c:v>
                </c:pt>
                <c:pt idx="2" formatCode="0">
                  <c:v>144.7254585062619</c:v>
                </c:pt>
              </c:numCache>
            </c:numRef>
          </c:val>
          <c:extLst>
            <c:ext xmlns:c16="http://schemas.microsoft.com/office/drawing/2014/chart" uri="{C3380CC4-5D6E-409C-BE32-E72D297353CC}">
              <c16:uniqueId val="{00000011-7C54-4DA4-BAD7-30128E3364E0}"/>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Grondbonewinsgewendheid</a:t>
            </a:r>
          </a:p>
        </c:rich>
      </c:tx>
      <c:overlay val="0"/>
    </c:title>
    <c:autoTitleDeleted val="0"/>
    <c:plotArea>
      <c:layout>
        <c:manualLayout>
          <c:layoutTarget val="inner"/>
          <c:xMode val="edge"/>
          <c:yMode val="edge"/>
          <c:x val="0.35231511273414384"/>
          <c:y val="0.24412539682539683"/>
          <c:w val="0.30141768094749954"/>
          <c:h val="0.75352817460317456"/>
        </c:manualLayout>
      </c:layout>
      <c:doughnutChart>
        <c:varyColors val="1"/>
        <c:ser>
          <c:idx val="0"/>
          <c:order val="0"/>
          <c:tx>
            <c:strRef>
              <c:f>Grafieke!$A$71</c:f>
              <c:strCache>
                <c:ptCount val="1"/>
                <c:pt idx="0">
                  <c:v>Winsgewendheid: Sorghum</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5068-4903-9D92-E6024762BE32}"/>
              </c:ext>
            </c:extLst>
          </c:dPt>
          <c:dPt>
            <c:idx val="1"/>
            <c:bubble3D val="0"/>
            <c:spPr>
              <a:solidFill>
                <a:srgbClr val="FF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5068-4903-9D92-E6024762BE32}"/>
              </c:ext>
            </c:extLst>
          </c:dPt>
          <c:dPt>
            <c:idx val="2"/>
            <c:bubble3D val="0"/>
            <c:spPr>
              <a:solidFill>
                <a:srgbClr val="FFFF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5068-4903-9D92-E6024762BE32}"/>
              </c:ext>
            </c:extLst>
          </c:dPt>
          <c:dPt>
            <c:idx val="3"/>
            <c:bubble3D val="0"/>
            <c:spPr>
              <a:solidFill>
                <a:srgbClr val="00B05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5068-4903-9D92-E6024762BE32}"/>
              </c:ext>
            </c:extLst>
          </c:dPt>
          <c:dPt>
            <c:idx val="4"/>
            <c:bubble3D val="0"/>
            <c:spPr>
              <a:noFill/>
              <a:ln>
                <a:noFill/>
              </a:ln>
              <a:effectLst/>
            </c:spPr>
            <c:extLst>
              <c:ext xmlns:c16="http://schemas.microsoft.com/office/drawing/2014/chart" uri="{C3380CC4-5D6E-409C-BE32-E72D297353CC}">
                <c16:uniqueId val="{00000009-5068-4903-9D92-E6024762BE32}"/>
              </c:ext>
            </c:extLst>
          </c:dPt>
          <c:dLbls>
            <c:dLbl>
              <c:idx val="0"/>
              <c:delete val="1"/>
              <c:extLst>
                <c:ext xmlns:c15="http://schemas.microsoft.com/office/drawing/2012/chart" uri="{CE6537A1-D6FC-4f65-9D91-7224C49458BB}"/>
                <c:ext xmlns:c16="http://schemas.microsoft.com/office/drawing/2014/chart" uri="{C3380CC4-5D6E-409C-BE32-E72D297353CC}">
                  <c16:uniqueId val="{00000001-5068-4903-9D92-E6024762BE32}"/>
                </c:ext>
              </c:extLst>
            </c:dLbl>
            <c:dLbl>
              <c:idx val="1"/>
              <c:tx>
                <c:rich>
                  <a:bodyPr/>
                  <a:lstStyle/>
                  <a:p>
                    <a:r>
                      <a:rPr lang="en-US"/>
                      <a:t>Veranderlike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5068-4903-9D92-E6024762BE32}"/>
                </c:ext>
              </c:extLst>
            </c:dLbl>
            <c:dLbl>
              <c:idx val="2"/>
              <c:tx>
                <c:rich>
                  <a:bodyPr/>
                  <a:lstStyle/>
                  <a:p>
                    <a:r>
                      <a:rPr lang="en-US"/>
                      <a:t>Vaste</a:t>
                    </a:r>
                    <a:r>
                      <a:rPr lang="en-US" baseline="0"/>
                      <a:t> koste</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5-5068-4903-9D92-E6024762BE32}"/>
                </c:ext>
              </c:extLst>
            </c:dLbl>
            <c:dLbl>
              <c:idx val="3"/>
              <c:tx>
                <c:rich>
                  <a:bodyPr/>
                  <a:lstStyle/>
                  <a:p>
                    <a:r>
                      <a:rPr lang="en-US"/>
                      <a:t>Wins</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5068-4903-9D92-E6024762BE32}"/>
                </c:ext>
              </c:extLst>
            </c:dLbl>
            <c:dLbl>
              <c:idx val="4"/>
              <c:delete val="1"/>
              <c:extLst>
                <c:ext xmlns:c15="http://schemas.microsoft.com/office/drawing/2012/chart" uri="{CE6537A1-D6FC-4f65-9D91-7224C49458BB}"/>
                <c:ext xmlns:c16="http://schemas.microsoft.com/office/drawing/2014/chart" uri="{C3380CC4-5D6E-409C-BE32-E72D297353CC}">
                  <c16:uniqueId val="{00000009-5068-4903-9D92-E6024762BE32}"/>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Grafieke!$C$72:$C$76</c:f>
              <c:numCache>
                <c:formatCode>0</c:formatCode>
                <c:ptCount val="5"/>
                <c:pt idx="0" formatCode="General">
                  <c:v>0</c:v>
                </c:pt>
                <c:pt idx="1">
                  <c:v>27.773395412107021</c:v>
                </c:pt>
                <c:pt idx="2">
                  <c:v>17.952063094154873</c:v>
                </c:pt>
                <c:pt idx="3">
                  <c:v>54.274541493738106</c:v>
                </c:pt>
                <c:pt idx="4" formatCode="General">
                  <c:v>100</c:v>
                </c:pt>
              </c:numCache>
            </c:numRef>
          </c:val>
          <c:extLst>
            <c:ext xmlns:c16="http://schemas.microsoft.com/office/drawing/2014/chart" uri="{C3380CC4-5D6E-409C-BE32-E72D297353CC}">
              <c16:uniqueId val="{0000000A-5068-4903-9D92-E6024762BE32}"/>
            </c:ext>
          </c:extLst>
        </c:ser>
        <c:dLbls>
          <c:showLegendKey val="0"/>
          <c:showVal val="0"/>
          <c:showCatName val="0"/>
          <c:showSerName val="0"/>
          <c:showPercent val="1"/>
          <c:showBubbleSize val="0"/>
          <c:showLeaderLines val="1"/>
        </c:dLbls>
        <c:firstSliceAng val="270"/>
        <c:holeSize val="50"/>
      </c:doughnutChart>
      <c:pieChart>
        <c:varyColors val="1"/>
        <c:ser>
          <c:idx val="1"/>
          <c:order val="1"/>
          <c:tx>
            <c:strRef>
              <c:f>Grafieke!$D$71</c:f>
              <c:strCache>
                <c:ptCount val="1"/>
                <c:pt idx="0">
                  <c:v>Pointer</c:v>
                </c:pt>
              </c:strCache>
            </c:strRef>
          </c:tx>
          <c:dPt>
            <c:idx val="0"/>
            <c:bubble3D val="0"/>
            <c:spPr>
              <a:noFill/>
              <a:ln>
                <a:noFill/>
              </a:ln>
              <a:effectLst/>
            </c:spPr>
            <c:extLst>
              <c:ext xmlns:c16="http://schemas.microsoft.com/office/drawing/2014/chart" uri="{C3380CC4-5D6E-409C-BE32-E72D297353CC}">
                <c16:uniqueId val="{0000000C-5068-4903-9D92-E6024762BE32}"/>
              </c:ext>
            </c:extLst>
          </c:dPt>
          <c:dPt>
            <c:idx val="1"/>
            <c:bubble3D val="0"/>
            <c:spPr>
              <a:solidFill>
                <a:schemeClr val="tx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E-5068-4903-9D92-E6024762BE32}"/>
              </c:ext>
            </c:extLst>
          </c:dPt>
          <c:dPt>
            <c:idx val="2"/>
            <c:bubble3D val="0"/>
            <c:spPr>
              <a:noFill/>
              <a:ln>
                <a:noFill/>
              </a:ln>
              <a:effectLst/>
            </c:spPr>
            <c:extLst>
              <c:ext xmlns:c16="http://schemas.microsoft.com/office/drawing/2014/chart" uri="{C3380CC4-5D6E-409C-BE32-E72D297353CC}">
                <c16:uniqueId val="{00000010-5068-4903-9D92-E6024762BE32}"/>
              </c:ext>
            </c:extLst>
          </c:dPt>
          <c:val>
            <c:numRef>
              <c:f>Grafieke!$F$72:$F$74</c:f>
              <c:numCache>
                <c:formatCode>General</c:formatCode>
                <c:ptCount val="3"/>
                <c:pt idx="0" formatCode="0">
                  <c:v>54.274541493738106</c:v>
                </c:pt>
                <c:pt idx="1">
                  <c:v>1</c:v>
                </c:pt>
                <c:pt idx="2" formatCode="0">
                  <c:v>144.7254585062619</c:v>
                </c:pt>
              </c:numCache>
            </c:numRef>
          </c:val>
          <c:extLst>
            <c:ext xmlns:c16="http://schemas.microsoft.com/office/drawing/2014/chart" uri="{C3380CC4-5D6E-409C-BE32-E72D297353CC}">
              <c16:uniqueId val="{00000011-5068-4903-9D92-E6024762BE32}"/>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9.xml"/><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10" Type="http://schemas.openxmlformats.org/officeDocument/2006/relationships/chart" Target="../charts/chart11.xml"/><Relationship Id="rId4" Type="http://schemas.openxmlformats.org/officeDocument/2006/relationships/chart" Target="../charts/chart5.xml"/><Relationship Id="rId9"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4</xdr:col>
      <xdr:colOff>398930</xdr:colOff>
      <xdr:row>2</xdr:row>
      <xdr:rowOff>239806</xdr:rowOff>
    </xdr:from>
    <xdr:to>
      <xdr:col>5</xdr:col>
      <xdr:colOff>627203</xdr:colOff>
      <xdr:row>7</xdr:row>
      <xdr:rowOff>96109</xdr:rowOff>
    </xdr:to>
    <xdr:pic>
      <xdr:nvPicPr>
        <xdr:cNvPr id="2" name="Picture 1" descr="GrainSA - YouTube">
          <a:extLst>
            <a:ext uri="{FF2B5EF4-FFF2-40B4-BE49-F238E27FC236}">
              <a16:creationId xmlns:a16="http://schemas.microsoft.com/office/drawing/2014/main" id="{11F67180-63DA-48E9-B71E-D5569B07E2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58318" y="768724"/>
          <a:ext cx="967189" cy="891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xdr:colOff>
      <xdr:row>42</xdr:row>
      <xdr:rowOff>22860</xdr:rowOff>
    </xdr:from>
    <xdr:to>
      <xdr:col>0</xdr:col>
      <xdr:colOff>1021080</xdr:colOff>
      <xdr:row>45</xdr:row>
      <xdr:rowOff>167640</xdr:rowOff>
    </xdr:to>
    <xdr:pic>
      <xdr:nvPicPr>
        <xdr:cNvPr id="37411" name="Picture 3" descr="http://www.maizetrust.co.za/images/masthead.jpg">
          <a:extLst>
            <a:ext uri="{FF2B5EF4-FFF2-40B4-BE49-F238E27FC236}">
              <a16:creationId xmlns:a16="http://schemas.microsoft.com/office/drawing/2014/main" id="{25FDBD05-7C27-2508-5347-9B6FF9D2C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7932420"/>
          <a:ext cx="9982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638735</xdr:colOff>
      <xdr:row>0</xdr:row>
      <xdr:rowOff>0</xdr:rowOff>
    </xdr:from>
    <xdr:to>
      <xdr:col>9</xdr:col>
      <xdr:colOff>3362</xdr:colOff>
      <xdr:row>2</xdr:row>
      <xdr:rowOff>340883</xdr:rowOff>
    </xdr:to>
    <xdr:pic>
      <xdr:nvPicPr>
        <xdr:cNvPr id="2" name="Picture 1" descr="GrainSA - YouTube">
          <a:extLst>
            <a:ext uri="{FF2B5EF4-FFF2-40B4-BE49-F238E27FC236}">
              <a16:creationId xmlns:a16="http://schemas.microsoft.com/office/drawing/2014/main" id="{9FD51661-E171-400A-8D5A-3452690C29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35353" y="0"/>
          <a:ext cx="1058955" cy="931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60960</xdr:colOff>
      <xdr:row>70</xdr:row>
      <xdr:rowOff>160020</xdr:rowOff>
    </xdr:from>
    <xdr:to>
      <xdr:col>8</xdr:col>
      <xdr:colOff>891540</xdr:colOff>
      <xdr:row>77</xdr:row>
      <xdr:rowOff>30480</xdr:rowOff>
    </xdr:to>
    <xdr:pic>
      <xdr:nvPicPr>
        <xdr:cNvPr id="38573" name="Picture 5" descr="Graan SA - nuwe logo.jpg">
          <a:extLst>
            <a:ext uri="{FF2B5EF4-FFF2-40B4-BE49-F238E27FC236}">
              <a16:creationId xmlns:a16="http://schemas.microsoft.com/office/drawing/2014/main" id="{FDD6A106-B761-5ED0-568C-AFECEC1937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61420" y="13335000"/>
          <a:ext cx="83058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42</xdr:row>
      <xdr:rowOff>32385</xdr:rowOff>
    </xdr:from>
    <xdr:to>
      <xdr:col>0</xdr:col>
      <xdr:colOff>998220</xdr:colOff>
      <xdr:row>45</xdr:row>
      <xdr:rowOff>186690</xdr:rowOff>
    </xdr:to>
    <xdr:pic>
      <xdr:nvPicPr>
        <xdr:cNvPr id="38574" name="Picture 6" descr="http://www.maizetrust.co.za/images/masthead.jpg">
          <a:extLst>
            <a:ext uri="{FF2B5EF4-FFF2-40B4-BE49-F238E27FC236}">
              <a16:creationId xmlns:a16="http://schemas.microsoft.com/office/drawing/2014/main" id="{072AD07E-B200-1F42-2F82-5E6DBE9D71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852535"/>
          <a:ext cx="998220"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979715</xdr:colOff>
      <xdr:row>0</xdr:row>
      <xdr:rowOff>9525</xdr:rowOff>
    </xdr:from>
    <xdr:to>
      <xdr:col>14</xdr:col>
      <xdr:colOff>95250</xdr:colOff>
      <xdr:row>2</xdr:row>
      <xdr:rowOff>289464</xdr:rowOff>
    </xdr:to>
    <xdr:pic>
      <xdr:nvPicPr>
        <xdr:cNvPr id="2" name="Picture 1" descr="GrainSA - YouTube">
          <a:extLst>
            <a:ext uri="{FF2B5EF4-FFF2-40B4-BE49-F238E27FC236}">
              <a16:creationId xmlns:a16="http://schemas.microsoft.com/office/drawing/2014/main" id="{A94A3163-C93E-4E72-93D4-0839C107D19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314215" y="9525"/>
          <a:ext cx="1087210" cy="927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22860</xdr:colOff>
      <xdr:row>42</xdr:row>
      <xdr:rowOff>22860</xdr:rowOff>
    </xdr:from>
    <xdr:to>
      <xdr:col>0</xdr:col>
      <xdr:colOff>1021080</xdr:colOff>
      <xdr:row>45</xdr:row>
      <xdr:rowOff>167640</xdr:rowOff>
    </xdr:to>
    <xdr:pic>
      <xdr:nvPicPr>
        <xdr:cNvPr id="156098" name="Picture 3" descr="http://www.maizetrust.co.za/images/masthead.jpg">
          <a:extLst>
            <a:ext uri="{FF2B5EF4-FFF2-40B4-BE49-F238E27FC236}">
              <a16:creationId xmlns:a16="http://schemas.microsoft.com/office/drawing/2014/main" id="{E545F91B-E289-F7B7-6A12-41752D803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8092440"/>
          <a:ext cx="9982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xdr:colOff>
      <xdr:row>42</xdr:row>
      <xdr:rowOff>22860</xdr:rowOff>
    </xdr:from>
    <xdr:to>
      <xdr:col>0</xdr:col>
      <xdr:colOff>1021080</xdr:colOff>
      <xdr:row>45</xdr:row>
      <xdr:rowOff>167640</xdr:rowOff>
    </xdr:to>
    <xdr:pic>
      <xdr:nvPicPr>
        <xdr:cNvPr id="156099" name="Picture 4" descr="http://www.maizetrust.co.za/images/masthead.jpg">
          <a:extLst>
            <a:ext uri="{FF2B5EF4-FFF2-40B4-BE49-F238E27FC236}">
              <a16:creationId xmlns:a16="http://schemas.microsoft.com/office/drawing/2014/main" id="{3296DD2C-9A08-255D-6110-F1C2ABF72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8092440"/>
          <a:ext cx="9982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888206</xdr:colOff>
      <xdr:row>0</xdr:row>
      <xdr:rowOff>57150</xdr:rowOff>
    </xdr:from>
    <xdr:to>
      <xdr:col>8</xdr:col>
      <xdr:colOff>951799</xdr:colOff>
      <xdr:row>3</xdr:row>
      <xdr:rowOff>7115</xdr:rowOff>
    </xdr:to>
    <xdr:pic>
      <xdr:nvPicPr>
        <xdr:cNvPr id="2" name="Picture 1" descr="GrainSA - YouTube">
          <a:extLst>
            <a:ext uri="{FF2B5EF4-FFF2-40B4-BE49-F238E27FC236}">
              <a16:creationId xmlns:a16="http://schemas.microsoft.com/office/drawing/2014/main" id="{658619FB-B315-42E3-B1C7-790EF3070D1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51281" y="57150"/>
          <a:ext cx="1063718" cy="9215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259080</xdr:colOff>
      <xdr:row>95</xdr:row>
      <xdr:rowOff>99060</xdr:rowOff>
    </xdr:from>
    <xdr:to>
      <xdr:col>7</xdr:col>
      <xdr:colOff>739140</xdr:colOff>
      <xdr:row>98</xdr:row>
      <xdr:rowOff>162486</xdr:rowOff>
    </xdr:to>
    <xdr:pic>
      <xdr:nvPicPr>
        <xdr:cNvPr id="51678" name="Picture 3" descr="Graan SA - nuwe logo.jpg">
          <a:extLst>
            <a:ext uri="{FF2B5EF4-FFF2-40B4-BE49-F238E27FC236}">
              <a16:creationId xmlns:a16="http://schemas.microsoft.com/office/drawing/2014/main" id="{E9C2809A-382F-1407-620D-9E8D1B7145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81160" y="16581120"/>
          <a:ext cx="48768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943535</xdr:colOff>
      <xdr:row>0</xdr:row>
      <xdr:rowOff>0</xdr:rowOff>
    </xdr:from>
    <xdr:to>
      <xdr:col>9</xdr:col>
      <xdr:colOff>1679</xdr:colOff>
      <xdr:row>2</xdr:row>
      <xdr:rowOff>342004</xdr:rowOff>
    </xdr:to>
    <xdr:pic>
      <xdr:nvPicPr>
        <xdr:cNvPr id="2" name="Picture 1" descr="GrainSA - YouTube">
          <a:extLst>
            <a:ext uri="{FF2B5EF4-FFF2-40B4-BE49-F238E27FC236}">
              <a16:creationId xmlns:a16="http://schemas.microsoft.com/office/drawing/2014/main" id="{E88430E6-1734-4268-A795-7A21B68FF9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79959" y="0"/>
          <a:ext cx="1030379" cy="923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43</xdr:row>
      <xdr:rowOff>8965</xdr:rowOff>
    </xdr:from>
    <xdr:to>
      <xdr:col>0</xdr:col>
      <xdr:colOff>998220</xdr:colOff>
      <xdr:row>47</xdr:row>
      <xdr:rowOff>15353</xdr:rowOff>
    </xdr:to>
    <xdr:pic>
      <xdr:nvPicPr>
        <xdr:cNvPr id="3" name="Picture 4" descr="http://www.maizetrust.co.za/images/masthead.jpg">
          <a:extLst>
            <a:ext uri="{FF2B5EF4-FFF2-40B4-BE49-F238E27FC236}">
              <a16:creationId xmlns:a16="http://schemas.microsoft.com/office/drawing/2014/main" id="{58F0E1CE-C979-4CE4-9738-5D1DA887EE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27577"/>
          <a:ext cx="998220" cy="696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64993</xdr:colOff>
      <xdr:row>0</xdr:row>
      <xdr:rowOff>44824</xdr:rowOff>
    </xdr:from>
    <xdr:to>
      <xdr:col>9</xdr:col>
      <xdr:colOff>133909</xdr:colOff>
      <xdr:row>3</xdr:row>
      <xdr:rowOff>77770</xdr:rowOff>
    </xdr:to>
    <xdr:pic>
      <xdr:nvPicPr>
        <xdr:cNvPr id="2" name="Picture 1" descr="GrainSA - YouTube">
          <a:extLst>
            <a:ext uri="{FF2B5EF4-FFF2-40B4-BE49-F238E27FC236}">
              <a16:creationId xmlns:a16="http://schemas.microsoft.com/office/drawing/2014/main" id="{CB6B51F1-76EE-4782-9C21-A8D74E5F71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1299" y="44824"/>
          <a:ext cx="1067809" cy="946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xdr:colOff>
      <xdr:row>42</xdr:row>
      <xdr:rowOff>22860</xdr:rowOff>
    </xdr:from>
    <xdr:to>
      <xdr:col>0</xdr:col>
      <xdr:colOff>1021080</xdr:colOff>
      <xdr:row>45</xdr:row>
      <xdr:rowOff>167640</xdr:rowOff>
    </xdr:to>
    <xdr:pic>
      <xdr:nvPicPr>
        <xdr:cNvPr id="3" name="Picture 3" descr="http://www.maizetrust.co.za/images/masthead.jpg">
          <a:extLst>
            <a:ext uri="{FF2B5EF4-FFF2-40B4-BE49-F238E27FC236}">
              <a16:creationId xmlns:a16="http://schemas.microsoft.com/office/drawing/2014/main" id="{11733E71-C6C2-4D1B-B53F-DF480DEC9A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 y="8412480"/>
          <a:ext cx="99822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xdr:colOff>
      <xdr:row>42</xdr:row>
      <xdr:rowOff>22860</xdr:rowOff>
    </xdr:from>
    <xdr:to>
      <xdr:col>0</xdr:col>
      <xdr:colOff>1021080</xdr:colOff>
      <xdr:row>45</xdr:row>
      <xdr:rowOff>167640</xdr:rowOff>
    </xdr:to>
    <xdr:pic>
      <xdr:nvPicPr>
        <xdr:cNvPr id="4" name="Picture 4" descr="http://www.maizetrust.co.za/images/masthead.jpg">
          <a:extLst>
            <a:ext uri="{FF2B5EF4-FFF2-40B4-BE49-F238E27FC236}">
              <a16:creationId xmlns:a16="http://schemas.microsoft.com/office/drawing/2014/main" id="{BFDEF4CF-9C74-40B2-B406-B92C9D30A2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 y="8412480"/>
          <a:ext cx="99822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56254</xdr:colOff>
      <xdr:row>2</xdr:row>
      <xdr:rowOff>344805</xdr:rowOff>
    </xdr:to>
    <xdr:pic>
      <xdr:nvPicPr>
        <xdr:cNvPr id="2" name="Picture 1" descr="GrainSA - YouTube">
          <a:extLst>
            <a:ext uri="{FF2B5EF4-FFF2-40B4-BE49-F238E27FC236}">
              <a16:creationId xmlns:a16="http://schemas.microsoft.com/office/drawing/2014/main" id="{3AA6EB5D-E99A-48C4-86E2-CDA02DE2C9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0"/>
          <a:ext cx="1058955" cy="937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xdr:colOff>
      <xdr:row>50</xdr:row>
      <xdr:rowOff>22860</xdr:rowOff>
    </xdr:from>
    <xdr:to>
      <xdr:col>0</xdr:col>
      <xdr:colOff>1021080</xdr:colOff>
      <xdr:row>53</xdr:row>
      <xdr:rowOff>167640</xdr:rowOff>
    </xdr:to>
    <xdr:pic>
      <xdr:nvPicPr>
        <xdr:cNvPr id="3" name="Picture 3" descr="http://www.maizetrust.co.za/images/masthead.jpg">
          <a:extLst>
            <a:ext uri="{FF2B5EF4-FFF2-40B4-BE49-F238E27FC236}">
              <a16:creationId xmlns:a16="http://schemas.microsoft.com/office/drawing/2014/main" id="{8AE3D550-CD22-4444-8A22-FAD122F71B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 y="8412480"/>
          <a:ext cx="99822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xdr:colOff>
      <xdr:row>50</xdr:row>
      <xdr:rowOff>22860</xdr:rowOff>
    </xdr:from>
    <xdr:to>
      <xdr:col>0</xdr:col>
      <xdr:colOff>1021080</xdr:colOff>
      <xdr:row>53</xdr:row>
      <xdr:rowOff>167640</xdr:rowOff>
    </xdr:to>
    <xdr:pic>
      <xdr:nvPicPr>
        <xdr:cNvPr id="4" name="Picture 4" descr="http://www.maizetrust.co.za/images/masthead.jpg">
          <a:extLst>
            <a:ext uri="{FF2B5EF4-FFF2-40B4-BE49-F238E27FC236}">
              <a16:creationId xmlns:a16="http://schemas.microsoft.com/office/drawing/2014/main" id="{644F1BE2-09A6-4443-8AC5-B0A4EBAB96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 y="8412480"/>
          <a:ext cx="99822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91440</xdr:colOff>
      <xdr:row>82</xdr:row>
      <xdr:rowOff>160020</xdr:rowOff>
    </xdr:from>
    <xdr:to>
      <xdr:col>8</xdr:col>
      <xdr:colOff>914400</xdr:colOff>
      <xdr:row>88</xdr:row>
      <xdr:rowOff>127907</xdr:rowOff>
    </xdr:to>
    <xdr:pic>
      <xdr:nvPicPr>
        <xdr:cNvPr id="179352" name="Picture 3" descr="Graan SA - nuwe logo.jpg">
          <a:extLst>
            <a:ext uri="{FF2B5EF4-FFF2-40B4-BE49-F238E27FC236}">
              <a16:creationId xmlns:a16="http://schemas.microsoft.com/office/drawing/2014/main" id="{08ADCA9D-777D-464E-09CE-2B063F2D80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91900" y="14630400"/>
          <a:ext cx="82296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13446</xdr:colOff>
      <xdr:row>0</xdr:row>
      <xdr:rowOff>0</xdr:rowOff>
    </xdr:from>
    <xdr:to>
      <xdr:col>9</xdr:col>
      <xdr:colOff>96370</xdr:colOff>
      <xdr:row>3</xdr:row>
      <xdr:rowOff>11110</xdr:rowOff>
    </xdr:to>
    <xdr:pic>
      <xdr:nvPicPr>
        <xdr:cNvPr id="3" name="Picture 2" descr="GrainSA - YouTube">
          <a:extLst>
            <a:ext uri="{FF2B5EF4-FFF2-40B4-BE49-F238E27FC236}">
              <a16:creationId xmlns:a16="http://schemas.microsoft.com/office/drawing/2014/main" id="{0B2706C1-5C2A-4BB4-B936-0B1C9A9EA9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49752" y="0"/>
          <a:ext cx="1066576" cy="932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xdr:colOff>
      <xdr:row>42</xdr:row>
      <xdr:rowOff>22860</xdr:rowOff>
    </xdr:from>
    <xdr:to>
      <xdr:col>0</xdr:col>
      <xdr:colOff>1021080</xdr:colOff>
      <xdr:row>45</xdr:row>
      <xdr:rowOff>167640</xdr:rowOff>
    </xdr:to>
    <xdr:pic>
      <xdr:nvPicPr>
        <xdr:cNvPr id="2" name="Picture 3" descr="http://www.maizetrust.co.za/images/masthead.jpg">
          <a:extLst>
            <a:ext uri="{FF2B5EF4-FFF2-40B4-BE49-F238E27FC236}">
              <a16:creationId xmlns:a16="http://schemas.microsoft.com/office/drawing/2014/main" id="{644C69DF-3B57-4B00-89AD-4D68AFD86E6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0" y="9730740"/>
          <a:ext cx="9982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22860</xdr:colOff>
      <xdr:row>42</xdr:row>
      <xdr:rowOff>22860</xdr:rowOff>
    </xdr:from>
    <xdr:to>
      <xdr:col>0</xdr:col>
      <xdr:colOff>1021080</xdr:colOff>
      <xdr:row>45</xdr:row>
      <xdr:rowOff>167640</xdr:rowOff>
    </xdr:to>
    <xdr:pic>
      <xdr:nvPicPr>
        <xdr:cNvPr id="4" name="Picture 4" descr="http://www.maizetrust.co.za/images/masthead.jpg">
          <a:extLst>
            <a:ext uri="{FF2B5EF4-FFF2-40B4-BE49-F238E27FC236}">
              <a16:creationId xmlns:a16="http://schemas.microsoft.com/office/drawing/2014/main" id="{FC12D980-076F-4ACA-919C-E428AE0F934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860" y="9730740"/>
          <a:ext cx="9982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xdr:colOff>
      <xdr:row>37</xdr:row>
      <xdr:rowOff>0</xdr:rowOff>
    </xdr:from>
    <xdr:to>
      <xdr:col>8</xdr:col>
      <xdr:colOff>32658</xdr:colOff>
      <xdr:row>55</xdr:row>
      <xdr:rowOff>130628</xdr:rowOff>
    </xdr:to>
    <xdr:graphicFrame macro="">
      <xdr:nvGraphicFramePr>
        <xdr:cNvPr id="182304" name="Chart 1">
          <a:extLst>
            <a:ext uri="{FF2B5EF4-FFF2-40B4-BE49-F238E27FC236}">
              <a16:creationId xmlns:a16="http://schemas.microsoft.com/office/drawing/2014/main" id="{98C51A40-9009-D255-5ABB-533AB42DA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1110325</xdr:colOff>
      <xdr:row>0</xdr:row>
      <xdr:rowOff>358907</xdr:rowOff>
    </xdr:from>
    <xdr:to>
      <xdr:col>9</xdr:col>
      <xdr:colOff>245935</xdr:colOff>
      <xdr:row>5</xdr:row>
      <xdr:rowOff>170584</xdr:rowOff>
    </xdr:to>
    <xdr:pic>
      <xdr:nvPicPr>
        <xdr:cNvPr id="2" name="Picture 1" descr="GrainSA - YouTube">
          <a:extLst>
            <a:ext uri="{FF2B5EF4-FFF2-40B4-BE49-F238E27FC236}">
              <a16:creationId xmlns:a16="http://schemas.microsoft.com/office/drawing/2014/main" id="{7C99D3BB-88A9-466E-A608-C3284F97D4E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13754" y="358907"/>
          <a:ext cx="1095582" cy="925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624624</xdr:colOff>
      <xdr:row>0</xdr:row>
      <xdr:rowOff>0</xdr:rowOff>
    </xdr:from>
    <xdr:to>
      <xdr:col>27</xdr:col>
      <xdr:colOff>617004</xdr:colOff>
      <xdr:row>13</xdr:row>
      <xdr:rowOff>115759</xdr:rowOff>
    </xdr:to>
    <xdr:graphicFrame macro="">
      <xdr:nvGraphicFramePr>
        <xdr:cNvPr id="2" name="Chart 1">
          <a:extLst>
            <a:ext uri="{FF2B5EF4-FFF2-40B4-BE49-F238E27FC236}">
              <a16:creationId xmlns:a16="http://schemas.microsoft.com/office/drawing/2014/main" id="{829025B6-6A35-439C-8757-781BE6F4C3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33</xdr:row>
      <xdr:rowOff>15239</xdr:rowOff>
    </xdr:from>
    <xdr:to>
      <xdr:col>17</xdr:col>
      <xdr:colOff>15240</xdr:colOff>
      <xdr:row>46</xdr:row>
      <xdr:rowOff>130998</xdr:rowOff>
    </xdr:to>
    <xdr:graphicFrame macro="">
      <xdr:nvGraphicFramePr>
        <xdr:cNvPr id="3" name="Chart 2">
          <a:extLst>
            <a:ext uri="{FF2B5EF4-FFF2-40B4-BE49-F238E27FC236}">
              <a16:creationId xmlns:a16="http://schemas.microsoft.com/office/drawing/2014/main" id="{31119E32-79E0-43E4-BC97-440F8461C8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9525</xdr:colOff>
      <xdr:row>50</xdr:row>
      <xdr:rowOff>15238</xdr:rowOff>
    </xdr:from>
    <xdr:to>
      <xdr:col>17</xdr:col>
      <xdr:colOff>8964</xdr:colOff>
      <xdr:row>63</xdr:row>
      <xdr:rowOff>130996</xdr:rowOff>
    </xdr:to>
    <xdr:graphicFrame macro="">
      <xdr:nvGraphicFramePr>
        <xdr:cNvPr id="4" name="Chart 3">
          <a:extLst>
            <a:ext uri="{FF2B5EF4-FFF2-40B4-BE49-F238E27FC236}">
              <a16:creationId xmlns:a16="http://schemas.microsoft.com/office/drawing/2014/main" id="{AF0879CF-80DF-4A76-8CC0-6ED9F7B923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592629</xdr:colOff>
      <xdr:row>16</xdr:row>
      <xdr:rowOff>34636</xdr:rowOff>
    </xdr:from>
    <xdr:to>
      <xdr:col>16</xdr:col>
      <xdr:colOff>484909</xdr:colOff>
      <xdr:row>29</xdr:row>
      <xdr:rowOff>150394</xdr:rowOff>
    </xdr:to>
    <xdr:graphicFrame macro="">
      <xdr:nvGraphicFramePr>
        <xdr:cNvPr id="5" name="Chart 4">
          <a:extLst>
            <a:ext uri="{FF2B5EF4-FFF2-40B4-BE49-F238E27FC236}">
              <a16:creationId xmlns:a16="http://schemas.microsoft.com/office/drawing/2014/main" id="{E4438566-C884-4CE7-9093-793CC930FE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xdr:colOff>
      <xdr:row>0</xdr:row>
      <xdr:rowOff>0</xdr:rowOff>
    </xdr:from>
    <xdr:to>
      <xdr:col>16</xdr:col>
      <xdr:colOff>609599</xdr:colOff>
      <xdr:row>13</xdr:row>
      <xdr:rowOff>115759</xdr:rowOff>
    </xdr:to>
    <xdr:graphicFrame macro="">
      <xdr:nvGraphicFramePr>
        <xdr:cNvPr id="6" name="Chart 5">
          <a:extLst>
            <a:ext uri="{FF2B5EF4-FFF2-40B4-BE49-F238E27FC236}">
              <a16:creationId xmlns:a16="http://schemas.microsoft.com/office/drawing/2014/main" id="{02CBD57B-6B0B-4351-B00D-07E9D66C09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0</xdr:colOff>
      <xdr:row>16</xdr:row>
      <xdr:rowOff>0</xdr:rowOff>
    </xdr:from>
    <xdr:to>
      <xdr:col>27</xdr:col>
      <xdr:colOff>617219</xdr:colOff>
      <xdr:row>29</xdr:row>
      <xdr:rowOff>115758</xdr:rowOff>
    </xdr:to>
    <xdr:graphicFrame macro="">
      <xdr:nvGraphicFramePr>
        <xdr:cNvPr id="7" name="Chart 4">
          <a:extLst>
            <a:ext uri="{FF2B5EF4-FFF2-40B4-BE49-F238E27FC236}">
              <a16:creationId xmlns:a16="http://schemas.microsoft.com/office/drawing/2014/main" id="{4FF4405F-651C-458D-B540-672142FD3B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33</xdr:row>
      <xdr:rowOff>0</xdr:rowOff>
    </xdr:from>
    <xdr:to>
      <xdr:col>27</xdr:col>
      <xdr:colOff>621030</xdr:colOff>
      <xdr:row>46</xdr:row>
      <xdr:rowOff>115759</xdr:rowOff>
    </xdr:to>
    <xdr:graphicFrame macro="">
      <xdr:nvGraphicFramePr>
        <xdr:cNvPr id="8" name="Chart 2">
          <a:extLst>
            <a:ext uri="{FF2B5EF4-FFF2-40B4-BE49-F238E27FC236}">
              <a16:creationId xmlns:a16="http://schemas.microsoft.com/office/drawing/2014/main" id="{3931A665-69F5-4F80-AD91-46D48FB1AF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18</xdr:col>
      <xdr:colOff>0</xdr:colOff>
      <xdr:row>50</xdr:row>
      <xdr:rowOff>0</xdr:rowOff>
    </xdr:from>
    <xdr:to>
      <xdr:col>27</xdr:col>
      <xdr:colOff>624279</xdr:colOff>
      <xdr:row>63</xdr:row>
      <xdr:rowOff>115758</xdr:rowOff>
    </xdr:to>
    <xdr:graphicFrame macro="">
      <xdr:nvGraphicFramePr>
        <xdr:cNvPr id="9" name="Chart 3">
          <a:extLst>
            <a:ext uri="{FF2B5EF4-FFF2-40B4-BE49-F238E27FC236}">
              <a16:creationId xmlns:a16="http://schemas.microsoft.com/office/drawing/2014/main" id="{5C19FDB7-74F7-4BC5-BD74-D55EAAB156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9525</xdr:colOff>
      <xdr:row>70</xdr:row>
      <xdr:rowOff>15238</xdr:rowOff>
    </xdr:from>
    <xdr:to>
      <xdr:col>17</xdr:col>
      <xdr:colOff>8964</xdr:colOff>
      <xdr:row>83</xdr:row>
      <xdr:rowOff>130997</xdr:rowOff>
    </xdr:to>
    <xdr:graphicFrame macro="">
      <xdr:nvGraphicFramePr>
        <xdr:cNvPr id="10" name="Chart 9">
          <a:extLst>
            <a:ext uri="{FF2B5EF4-FFF2-40B4-BE49-F238E27FC236}">
              <a16:creationId xmlns:a16="http://schemas.microsoft.com/office/drawing/2014/main" id="{115ABF3E-FF54-4252-AC77-B6EA9BEE9D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0</xdr:colOff>
      <xdr:row>70</xdr:row>
      <xdr:rowOff>0</xdr:rowOff>
    </xdr:from>
    <xdr:to>
      <xdr:col>27</xdr:col>
      <xdr:colOff>624279</xdr:colOff>
      <xdr:row>83</xdr:row>
      <xdr:rowOff>115759</xdr:rowOff>
    </xdr:to>
    <xdr:graphicFrame macro="">
      <xdr:nvGraphicFramePr>
        <xdr:cNvPr id="11" name="Chart 3">
          <a:extLst>
            <a:ext uri="{FF2B5EF4-FFF2-40B4-BE49-F238E27FC236}">
              <a16:creationId xmlns:a16="http://schemas.microsoft.com/office/drawing/2014/main" id="{29B82AC3-8866-41F2-A42E-0D22ED03F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saadcprd01\gsadata\Bedryfsbediening\Produksie\Produksie%20Begroting\Somer%20gewas%20streke\Somer%20begrotings\2017-18\GSA-17-18%20Noordwes%20begroting%20North%20West%20budg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Users\petru\AppData\Local\Microsoft\Windows\Temporary%20Internet%20Files\Content.Outlook\OCSLA1IY\GSA-18-19%20Noordwes%20model.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petru/AppData/Local/Microsoft/Windows/Temporary%20Internet%20Files/Content.Outlook/OCSLA1IY/GSA-16-17%20Noordwes%20begroting%20North%20West%20budget.xls" TargetMode="External"/><Relationship Id="rId1" Type="http://schemas.openxmlformats.org/officeDocument/2006/relationships/externalLinkPath" Target="/Users/petru/AppData/Local/Microsoft/Windows/Temporary%20Internet%20Files/Content.Outlook/OCSLA1IY/GSA-16-17%20Noordwes%20begroting%20North%20West%20budg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yse + Sensatiwiteitsanalise"/>
      <sheetName val="W-Mielie "/>
      <sheetName val="W-BT Mielies"/>
      <sheetName val="W-Roundup R mielies "/>
      <sheetName val="Stapelgeen Mielie"/>
      <sheetName val="Sonneblom"/>
      <sheetName val="Sojabone"/>
      <sheetName val="Graansorghum"/>
      <sheetName val="Grondbone"/>
      <sheetName val="Bes-mielies"/>
    </sheetNames>
    <sheetDataSet>
      <sheetData sheetId="0"/>
      <sheetData sheetId="1"/>
      <sheetData sheetId="2">
        <row r="9">
          <cell r="K9">
            <v>2.5</v>
          </cell>
        </row>
        <row r="10">
          <cell r="K10">
            <v>3</v>
          </cell>
        </row>
        <row r="11">
          <cell r="K11">
            <v>3.5</v>
          </cell>
        </row>
        <row r="12">
          <cell r="K12">
            <v>4</v>
          </cell>
        </row>
        <row r="13">
          <cell r="K13">
            <v>4.5</v>
          </cell>
        </row>
        <row r="14">
          <cell r="K14">
            <v>5</v>
          </cell>
        </row>
      </sheetData>
      <sheetData sheetId="3"/>
      <sheetData sheetId="4"/>
      <sheetData sheetId="5">
        <row r="9">
          <cell r="K9">
            <v>1</v>
          </cell>
        </row>
        <row r="10">
          <cell r="K10">
            <v>1.25</v>
          </cell>
        </row>
        <row r="11">
          <cell r="K11">
            <v>1.5</v>
          </cell>
        </row>
        <row r="12">
          <cell r="K12">
            <v>1.75</v>
          </cell>
        </row>
        <row r="13">
          <cell r="K13">
            <v>2</v>
          </cell>
        </row>
      </sheetData>
      <sheetData sheetId="6">
        <row r="9">
          <cell r="K9">
            <v>1</v>
          </cell>
        </row>
        <row r="10">
          <cell r="K10">
            <v>1.25</v>
          </cell>
        </row>
        <row r="11">
          <cell r="K11">
            <v>1.5</v>
          </cell>
        </row>
        <row r="12">
          <cell r="K12">
            <v>1.75</v>
          </cell>
        </row>
        <row r="13">
          <cell r="K13">
            <v>2</v>
          </cell>
        </row>
      </sheetData>
      <sheetData sheetId="7">
        <row r="9">
          <cell r="K9">
            <v>2</v>
          </cell>
        </row>
        <row r="10">
          <cell r="K10">
            <v>2.5</v>
          </cell>
        </row>
        <row r="11">
          <cell r="K11">
            <v>3</v>
          </cell>
        </row>
        <row r="12">
          <cell r="K12">
            <v>3.5</v>
          </cell>
        </row>
        <row r="13">
          <cell r="K13">
            <v>4</v>
          </cell>
        </row>
      </sheetData>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edprices"/>
      <sheetName val="Price sheet "/>
      <sheetName val="Crops planted"/>
      <sheetName val="Inventarus "/>
      <sheetName val="Laste"/>
      <sheetName val="vaste koste"/>
      <sheetName val="W-Mielie "/>
      <sheetName val="W-BT Mielies"/>
      <sheetName val="Sonneblom"/>
      <sheetName val="Sojabone"/>
      <sheetName val="Graansorghum"/>
      <sheetName val="Grondbone"/>
      <sheetName val="Oorlê"/>
      <sheetName val="Bes-mielies"/>
      <sheetName val="Crop Comparison"/>
      <sheetName val="Rent calculations"/>
      <sheetName val="Pryse + Sensatiwiteitsanalise"/>
      <sheetName val="Strategie"/>
      <sheetName val="sheet"/>
      <sheetName val="sheet 2"/>
    </sheetNames>
    <sheetDataSet>
      <sheetData sheetId="0" refreshError="1">
        <row r="3">
          <cell r="A3" t="str">
            <v>Monsanto Average Conven</v>
          </cell>
          <cell r="B3">
            <v>3014</v>
          </cell>
        </row>
        <row r="4">
          <cell r="A4" t="str">
            <v>Monsanto Average BT</v>
          </cell>
          <cell r="B4">
            <v>4202</v>
          </cell>
        </row>
        <row r="5">
          <cell r="A5" t="str">
            <v>Monsanto Average RR</v>
          </cell>
          <cell r="B5">
            <v>3966</v>
          </cell>
        </row>
        <row r="6">
          <cell r="A6" t="str">
            <v>Monsanto Average BR</v>
          </cell>
          <cell r="B6">
            <v>4455</v>
          </cell>
        </row>
        <row r="7">
          <cell r="A7" t="str">
            <v>DKC 73-72</v>
          </cell>
          <cell r="B7">
            <v>3535</v>
          </cell>
        </row>
        <row r="8">
          <cell r="A8" t="str">
            <v>DKC 80-10</v>
          </cell>
          <cell r="B8">
            <v>2002</v>
          </cell>
        </row>
        <row r="9">
          <cell r="A9" t="str">
            <v>DKC 71-42</v>
          </cell>
          <cell r="B9">
            <v>3612</v>
          </cell>
        </row>
        <row r="10">
          <cell r="A10" t="str">
            <v>DKC 61-90*</v>
          </cell>
          <cell r="B10">
            <v>2773</v>
          </cell>
        </row>
        <row r="11">
          <cell r="A11" t="str">
            <v>DKC 74-20</v>
          </cell>
          <cell r="B11">
            <v>3296</v>
          </cell>
        </row>
        <row r="12">
          <cell r="A12" t="str">
            <v>DKC 73-70B Gen</v>
          </cell>
          <cell r="B12">
            <v>4259</v>
          </cell>
        </row>
        <row r="13">
          <cell r="A13" t="str">
            <v>DKC 61-94 BR</v>
          </cell>
          <cell r="B13">
            <v>0</v>
          </cell>
        </row>
        <row r="14">
          <cell r="A14" t="str">
            <v>DKC 62-80 BR Gen</v>
          </cell>
          <cell r="B14">
            <v>0</v>
          </cell>
        </row>
        <row r="15">
          <cell r="A15" t="str">
            <v>DKC 62-84 R</v>
          </cell>
          <cell r="B15">
            <v>3312</v>
          </cell>
        </row>
        <row r="16">
          <cell r="A16" t="str">
            <v>DKC 64-78 BR Gen</v>
          </cell>
          <cell r="B16">
            <v>0</v>
          </cell>
        </row>
        <row r="17">
          <cell r="A17" t="str">
            <v>DKC 66-36 R</v>
          </cell>
          <cell r="B17">
            <v>0</v>
          </cell>
        </row>
        <row r="18">
          <cell r="A18" t="str">
            <v>DKC 73-74BR Gen</v>
          </cell>
          <cell r="B18">
            <v>4711</v>
          </cell>
        </row>
        <row r="19">
          <cell r="A19" t="str">
            <v>DKC 73-76 R</v>
          </cell>
          <cell r="B19">
            <v>4019</v>
          </cell>
        </row>
        <row r="20">
          <cell r="A20" t="str">
            <v>DKC 80-12B Gen</v>
          </cell>
          <cell r="B20">
            <v>3018</v>
          </cell>
        </row>
        <row r="21">
          <cell r="A21" t="str">
            <v>DKC 80-30 R</v>
          </cell>
          <cell r="B21">
            <v>3921</v>
          </cell>
        </row>
        <row r="22">
          <cell r="A22" t="str">
            <v>DKC 80-40BR Gen</v>
          </cell>
          <cell r="B22">
            <v>4672</v>
          </cell>
        </row>
        <row r="23">
          <cell r="A23" t="str">
            <v>DKC 68-50</v>
          </cell>
          <cell r="B23">
            <v>3589</v>
          </cell>
        </row>
        <row r="24">
          <cell r="A24" t="str">
            <v>DKC 68-56R</v>
          </cell>
          <cell r="B24">
            <v>4112</v>
          </cell>
        </row>
        <row r="25">
          <cell r="A25" t="str">
            <v>DKC 74-24B</v>
          </cell>
          <cell r="B25">
            <v>3038</v>
          </cell>
        </row>
        <row r="26">
          <cell r="A26" t="str">
            <v>DKC 74-26R</v>
          </cell>
          <cell r="B26">
            <v>4095</v>
          </cell>
        </row>
        <row r="27">
          <cell r="A27" t="str">
            <v>DKC 71-44B</v>
          </cell>
          <cell r="B27">
            <v>4486</v>
          </cell>
        </row>
        <row r="28">
          <cell r="A28" t="str">
            <v>DKC 68-54B</v>
          </cell>
          <cell r="B28">
            <v>4529</v>
          </cell>
        </row>
        <row r="29">
          <cell r="A29" t="str">
            <v>DKC 68-58BR</v>
          </cell>
          <cell r="B29">
            <v>4862</v>
          </cell>
        </row>
        <row r="30">
          <cell r="A30" t="str">
            <v>DKC 74-74BR</v>
          </cell>
          <cell r="B30">
            <v>4863</v>
          </cell>
        </row>
        <row r="31">
          <cell r="A31" t="str">
            <v>DKC 62-80BR Gen*</v>
          </cell>
          <cell r="B31">
            <v>3896</v>
          </cell>
        </row>
        <row r="32">
          <cell r="A32" t="str">
            <v>DKC 64-54BR*</v>
          </cell>
          <cell r="B32">
            <v>3999</v>
          </cell>
        </row>
        <row r="33">
          <cell r="A33" t="str">
            <v>DKC 64-78BR Gen*</v>
          </cell>
          <cell r="B33">
            <v>2796</v>
          </cell>
        </row>
        <row r="34">
          <cell r="A34" t="str">
            <v>DKC 65-52BR*</v>
          </cell>
          <cell r="B34">
            <v>4010</v>
          </cell>
        </row>
        <row r="35">
          <cell r="A35" t="str">
            <v xml:space="preserve">DKC 65-60 BR* </v>
          </cell>
          <cell r="B35">
            <v>3895</v>
          </cell>
        </row>
        <row r="36">
          <cell r="A36" t="str">
            <v>CRN 3505</v>
          </cell>
          <cell r="B36">
            <v>3333</v>
          </cell>
        </row>
        <row r="37">
          <cell r="A37" t="str">
            <v>DKC 78-27</v>
          </cell>
          <cell r="B37">
            <v>3746</v>
          </cell>
        </row>
        <row r="38">
          <cell r="A38" t="str">
            <v>DKC 63-53*</v>
          </cell>
          <cell r="B38">
            <v>1621</v>
          </cell>
        </row>
        <row r="39">
          <cell r="A39" t="str">
            <v>DKC 77-77 BR</v>
          </cell>
          <cell r="B39">
            <v>5069</v>
          </cell>
        </row>
        <row r="40">
          <cell r="A40" t="str">
            <v>DKC 77-85B Gen</v>
          </cell>
          <cell r="B40">
            <v>4609</v>
          </cell>
        </row>
        <row r="41">
          <cell r="A41" t="str">
            <v>DKC 78-17 B</v>
          </cell>
          <cell r="B41">
            <v>4532</v>
          </cell>
        </row>
        <row r="42">
          <cell r="A42" t="str">
            <v>DKC 78-35 R</v>
          </cell>
          <cell r="B42">
            <v>4052</v>
          </cell>
        </row>
        <row r="43">
          <cell r="A43" t="str">
            <v>DKC 78-45BR Gen</v>
          </cell>
          <cell r="B43">
            <v>4858</v>
          </cell>
        </row>
        <row r="44">
          <cell r="A44" t="str">
            <v>DKC 78-79 BR</v>
          </cell>
          <cell r="B44">
            <v>4845</v>
          </cell>
        </row>
        <row r="45">
          <cell r="A45" t="str">
            <v>DKC 78-83 R</v>
          </cell>
          <cell r="B45">
            <v>4253</v>
          </cell>
        </row>
        <row r="46">
          <cell r="A46" t="str">
            <v>DKC 78-87 B</v>
          </cell>
          <cell r="B46">
            <v>4624</v>
          </cell>
        </row>
        <row r="47">
          <cell r="A47" t="str">
            <v>DKC 76-61B</v>
          </cell>
          <cell r="B47">
            <v>4221</v>
          </cell>
        </row>
        <row r="48">
          <cell r="A48" t="str">
            <v>DKC 75-65 BR</v>
          </cell>
          <cell r="B48">
            <v>5265</v>
          </cell>
        </row>
        <row r="49">
          <cell r="A49" t="str">
            <v>DKC 76-67 BR</v>
          </cell>
          <cell r="B49">
            <v>4635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yse + Sensatiwiteitsanalise"/>
      <sheetName val="W-Mielie "/>
      <sheetName val="W-BT Mielies"/>
      <sheetName val="W-Roundup R mielies "/>
      <sheetName val="Stapelgeen Mielie"/>
      <sheetName val="Sonneblom"/>
      <sheetName val="Sojabone"/>
      <sheetName val="Graansorghum"/>
      <sheetName val="Grondbone"/>
      <sheetName val="Bes-mielies"/>
    </sheetNames>
    <sheetDataSet>
      <sheetData sheetId="0"/>
      <sheetData sheetId="1"/>
      <sheetData sheetId="2"/>
      <sheetData sheetId="3"/>
      <sheetData sheetId="4"/>
      <sheetData sheetId="5"/>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A6473C-290B-46B7-9C25-D99F7111B31B}" name="Table1" displayName="Table1" ref="A1:H34" totalsRowShown="0" headerRowDxfId="58" dataDxfId="57" tableBorderDxfId="56">
  <autoFilter ref="A1:H34" xr:uid="{E0A6473C-290B-46B7-9C25-D99F7111B31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637562E-061A-4C6D-967E-831F876890FA}" name="NORTH WEST FREE STATE INCOME &amp; COST BUDGETS - SUMMER CROPS 2026/27 " dataDxfId="55"/>
    <tableColumn id="2" xr3:uid="{78B09541-E8A3-4D87-84C5-4E4EA494FF90}" name="Column1" dataDxfId="54"/>
    <tableColumn id="3" xr3:uid="{BF817011-E682-49AF-B11B-4693F15FF4E6}" name="Column2" dataDxfId="53"/>
    <tableColumn id="4" xr3:uid="{B427427A-9045-47AC-9B75-3CD4F52955E3}" name="Column3" dataDxfId="52"/>
    <tableColumn id="5" xr3:uid="{518F4B09-308E-437A-BAFD-DC2A1199B17A}" name="Column4" dataDxfId="51"/>
    <tableColumn id="6" xr3:uid="{0714900D-07E6-4E26-997A-C20C681A351E}" name="Column5" dataDxfId="50"/>
    <tableColumn id="7" xr3:uid="{E6B8CF4E-4B84-4C68-8813-3677F0D24985}" name="Column6" dataDxfId="49"/>
    <tableColumn id="8" xr3:uid="{B8156C7A-FBE3-4C0B-9168-E33D5626F00B}" name="Column7" dataDxfId="48"/>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2"/>
  <sheetViews>
    <sheetView tabSelected="1" topLeftCell="A13" zoomScale="70" zoomScaleNormal="70" workbookViewId="0">
      <selection activeCell="J14" sqref="J14"/>
    </sheetView>
  </sheetViews>
  <sheetFormatPr defaultColWidth="9.109375" defaultRowHeight="13.2" x14ac:dyDescent="0.25"/>
  <cols>
    <col min="1" max="1" width="52.44140625" style="28" customWidth="1"/>
    <col min="2" max="2" width="25" style="28" bestFit="1" customWidth="1"/>
    <col min="3" max="3" width="13.109375" style="28" customWidth="1"/>
    <col min="4" max="4" width="23.6640625" style="1" customWidth="1"/>
    <col min="5" max="12" width="10.6640625" style="1" customWidth="1"/>
    <col min="13" max="15" width="9.109375" style="1"/>
    <col min="16" max="16" width="22.6640625" style="1" customWidth="1"/>
    <col min="17" max="17" width="11.6640625" style="1" customWidth="1"/>
    <col min="18" max="26" width="9.44140625" style="1" customWidth="1"/>
    <col min="27" max="16384" width="9.109375" style="1"/>
  </cols>
  <sheetData>
    <row r="1" spans="1:14" s="29" customFormat="1" ht="28.5" customHeight="1" x14ac:dyDescent="0.4">
      <c r="A1" s="32" t="s">
        <v>0</v>
      </c>
      <c r="B1" s="33" t="s">
        <v>1</v>
      </c>
      <c r="C1" s="28"/>
      <c r="D1" s="28"/>
      <c r="E1" s="28"/>
      <c r="F1" s="28"/>
      <c r="G1" s="28"/>
      <c r="H1" s="28"/>
      <c r="I1" s="28"/>
      <c r="J1" s="28"/>
      <c r="K1" s="28"/>
      <c r="L1" s="28"/>
      <c r="M1" s="28"/>
      <c r="N1" s="28"/>
    </row>
    <row r="2" spans="1:14" s="29" customFormat="1" ht="13.5" customHeight="1" x14ac:dyDescent="0.3">
      <c r="A2" s="34" t="s">
        <v>2</v>
      </c>
      <c r="B2" s="443">
        <v>46269</v>
      </c>
      <c r="C2" s="28"/>
      <c r="D2" s="28"/>
      <c r="E2" s="28"/>
      <c r="F2" s="28"/>
      <c r="G2" s="28"/>
      <c r="H2" s="28"/>
      <c r="I2" s="28"/>
      <c r="J2" s="28"/>
      <c r="K2" s="28"/>
      <c r="L2" s="28"/>
      <c r="M2" s="28"/>
      <c r="N2" s="28"/>
    </row>
    <row r="3" spans="1:14" s="29" customFormat="1" ht="27.75" customHeight="1" x14ac:dyDescent="0.3">
      <c r="A3" s="50" t="s">
        <v>3</v>
      </c>
      <c r="B3" s="51" t="s">
        <v>4</v>
      </c>
      <c r="C3" s="28"/>
      <c r="D3" s="52" t="s">
        <v>5</v>
      </c>
      <c r="E3" s="28"/>
      <c r="F3" s="28"/>
      <c r="G3" s="28"/>
      <c r="H3" s="28"/>
      <c r="I3" s="28"/>
      <c r="J3" s="28"/>
      <c r="K3" s="28"/>
      <c r="L3" s="28"/>
    </row>
    <row r="4" spans="1:14" s="29" customFormat="1" ht="13.5" customHeight="1" x14ac:dyDescent="0.3">
      <c r="A4" s="38" t="s">
        <v>6</v>
      </c>
      <c r="B4" s="35">
        <v>4312</v>
      </c>
      <c r="C4" s="36"/>
      <c r="D4" s="37">
        <v>408.16</v>
      </c>
      <c r="E4" s="28"/>
      <c r="F4" s="28"/>
      <c r="G4" s="28"/>
      <c r="H4" s="28"/>
      <c r="I4" s="28"/>
      <c r="J4" s="28"/>
      <c r="K4" s="28"/>
      <c r="L4" s="28"/>
    </row>
    <row r="5" spans="1:14" s="29" customFormat="1" ht="13.5" customHeight="1" x14ac:dyDescent="0.3">
      <c r="A5" s="38" t="s">
        <v>7</v>
      </c>
      <c r="B5" s="35">
        <v>10000</v>
      </c>
      <c r="C5" s="36"/>
      <c r="D5" s="37">
        <v>473.27</v>
      </c>
      <c r="E5" s="28"/>
      <c r="F5" s="28"/>
      <c r="G5" s="28"/>
      <c r="H5" s="28"/>
      <c r="I5" s="28"/>
      <c r="J5" s="28"/>
      <c r="K5" s="28"/>
      <c r="L5" s="28"/>
      <c r="M5" s="28"/>
      <c r="N5" s="28"/>
    </row>
    <row r="6" spans="1:14" s="29" customFormat="1" ht="13.5" customHeight="1" x14ac:dyDescent="0.3">
      <c r="A6" s="38" t="s">
        <v>8</v>
      </c>
      <c r="B6" s="35">
        <v>8345</v>
      </c>
      <c r="C6" s="36"/>
      <c r="D6" s="37">
        <v>209.49</v>
      </c>
      <c r="E6" s="28"/>
      <c r="F6" s="28"/>
      <c r="G6" s="28"/>
      <c r="H6" s="28"/>
      <c r="I6" s="28"/>
      <c r="J6" s="28"/>
      <c r="K6" s="28"/>
      <c r="L6" s="28"/>
      <c r="M6" s="28"/>
      <c r="N6" s="28"/>
    </row>
    <row r="7" spans="1:14" s="29" customFormat="1" ht="13.5" customHeight="1" x14ac:dyDescent="0.3">
      <c r="A7" s="38" t="s">
        <v>9</v>
      </c>
      <c r="B7" s="35">
        <v>3500</v>
      </c>
      <c r="C7" s="36"/>
      <c r="D7" s="37">
        <v>132</v>
      </c>
      <c r="E7" s="28"/>
      <c r="F7" s="28"/>
      <c r="G7" s="28"/>
      <c r="H7" s="28"/>
      <c r="I7" s="28"/>
      <c r="J7" s="28"/>
      <c r="K7" s="28"/>
      <c r="L7" s="28"/>
      <c r="M7" s="28"/>
      <c r="N7" s="28"/>
    </row>
    <row r="8" spans="1:14" s="29" customFormat="1" ht="13.5" customHeight="1" x14ac:dyDescent="0.3">
      <c r="A8" s="38" t="s">
        <v>10</v>
      </c>
      <c r="B8" s="35">
        <v>21767</v>
      </c>
      <c r="C8" s="36"/>
      <c r="D8" s="37">
        <v>63</v>
      </c>
      <c r="E8" s="28"/>
      <c r="F8" s="28"/>
      <c r="G8" s="28"/>
      <c r="H8" s="28"/>
      <c r="I8" s="28"/>
      <c r="J8" s="28"/>
      <c r="K8" s="28"/>
      <c r="L8" s="28"/>
      <c r="M8" s="28"/>
      <c r="N8" s="28"/>
    </row>
    <row r="9" spans="1:14" s="29" customFormat="1" ht="13.5" customHeight="1" x14ac:dyDescent="0.3">
      <c r="A9" s="38" t="s">
        <v>11</v>
      </c>
      <c r="B9" s="35">
        <v>18150</v>
      </c>
      <c r="C9" s="36"/>
      <c r="D9" s="37"/>
      <c r="E9" s="28"/>
      <c r="F9" s="28"/>
      <c r="G9" s="28"/>
      <c r="H9" s="28"/>
      <c r="I9" s="28"/>
      <c r="J9" s="28"/>
      <c r="K9" s="28"/>
      <c r="L9" s="28"/>
      <c r="M9" s="28"/>
      <c r="N9" s="28"/>
    </row>
    <row r="10" spans="1:14" s="29" customFormat="1" ht="13.5" customHeight="1" x14ac:dyDescent="0.3">
      <c r="A10" s="38" t="s">
        <v>12</v>
      </c>
      <c r="B10" s="35">
        <v>16083</v>
      </c>
      <c r="C10" s="36"/>
      <c r="D10" s="37"/>
      <c r="E10" s="28"/>
      <c r="F10" s="28"/>
      <c r="G10" s="28"/>
      <c r="H10" s="28"/>
      <c r="I10" s="28"/>
      <c r="J10" s="28"/>
      <c r="K10" s="28"/>
      <c r="L10" s="28"/>
      <c r="M10" s="28"/>
      <c r="N10" s="28"/>
    </row>
    <row r="11" spans="1:14" s="29" customFormat="1" ht="13.5" customHeight="1" x14ac:dyDescent="0.3">
      <c r="A11" s="38" t="s">
        <v>13</v>
      </c>
      <c r="B11" s="35">
        <v>5467</v>
      </c>
      <c r="C11" s="36"/>
      <c r="D11" s="37"/>
      <c r="E11" s="28"/>
      <c r="F11" s="28"/>
      <c r="G11" s="28"/>
      <c r="H11" s="28"/>
      <c r="I11" s="28"/>
      <c r="J11" s="28"/>
      <c r="K11" s="28"/>
      <c r="L11" s="28"/>
      <c r="M11" s="28"/>
      <c r="N11" s="28"/>
    </row>
    <row r="12" spans="1:14" s="29" customFormat="1" ht="13.5" customHeight="1" x14ac:dyDescent="0.3">
      <c r="A12" s="38" t="s">
        <v>14</v>
      </c>
      <c r="B12" s="35">
        <v>3517</v>
      </c>
      <c r="C12" s="36"/>
      <c r="D12" s="37"/>
      <c r="E12" s="28"/>
      <c r="F12" s="28"/>
      <c r="G12" s="28"/>
      <c r="H12" s="28"/>
      <c r="I12" s="28"/>
      <c r="J12" s="28"/>
      <c r="K12" s="28"/>
      <c r="L12" s="28"/>
      <c r="M12" s="28"/>
      <c r="N12" s="28"/>
    </row>
    <row r="13" spans="1:14" s="29" customFormat="1" ht="13.5" customHeight="1" x14ac:dyDescent="0.3">
      <c r="A13" s="38" t="s">
        <v>15</v>
      </c>
      <c r="B13" s="35"/>
      <c r="C13" s="36"/>
      <c r="D13" s="36"/>
      <c r="E13" s="28"/>
      <c r="F13" s="28"/>
      <c r="G13" s="28"/>
      <c r="H13" s="28"/>
      <c r="I13" s="28"/>
      <c r="J13" s="28"/>
      <c r="K13" s="28"/>
      <c r="L13" s="28"/>
      <c r="M13" s="28"/>
      <c r="N13" s="28"/>
    </row>
    <row r="14" spans="1:14" s="29" customFormat="1" ht="13.5" customHeight="1" x14ac:dyDescent="0.3">
      <c r="A14" s="30"/>
      <c r="B14" s="31"/>
      <c r="C14" s="28"/>
      <c r="D14" s="28"/>
      <c r="E14" s="28"/>
      <c r="F14" s="28"/>
      <c r="G14" s="28"/>
      <c r="H14" s="28"/>
      <c r="I14" s="28"/>
      <c r="J14" s="28"/>
      <c r="K14" s="28"/>
      <c r="L14" s="28"/>
      <c r="M14" s="28"/>
      <c r="N14" s="28"/>
    </row>
    <row r="15" spans="1:14" s="29" customFormat="1" ht="13.5" customHeight="1" x14ac:dyDescent="0.4">
      <c r="A15" s="32"/>
      <c r="B15" s="28"/>
      <c r="C15" s="28"/>
      <c r="D15" s="28"/>
      <c r="E15" s="28"/>
      <c r="F15" s="28"/>
      <c r="G15" s="28"/>
      <c r="H15" s="28"/>
      <c r="I15" s="28"/>
      <c r="J15" s="28"/>
      <c r="K15" s="28"/>
      <c r="L15" s="28"/>
      <c r="M15" s="28"/>
      <c r="N15" s="28"/>
    </row>
    <row r="16" spans="1:14" s="29" customFormat="1" ht="30.75" customHeight="1" thickBot="1" x14ac:dyDescent="0.35">
      <c r="A16" s="360"/>
      <c r="B16" s="360"/>
      <c r="C16" s="28"/>
      <c r="D16" s="28"/>
      <c r="E16" s="28"/>
      <c r="F16" s="28"/>
      <c r="G16" s="28"/>
      <c r="H16" s="28"/>
      <c r="I16" s="28"/>
      <c r="J16" s="28"/>
      <c r="K16" s="28"/>
      <c r="L16" s="28"/>
      <c r="M16" s="28"/>
      <c r="N16" s="28"/>
    </row>
    <row r="17" spans="1:26" ht="26.25" customHeight="1" thickBot="1" x14ac:dyDescent="0.3">
      <c r="A17" s="361" t="s">
        <v>16</v>
      </c>
      <c r="B17" s="361"/>
      <c r="C17" s="39"/>
      <c r="D17" s="365" t="s">
        <v>17</v>
      </c>
      <c r="E17" s="366"/>
      <c r="F17" s="366"/>
      <c r="G17" s="366"/>
      <c r="H17" s="366"/>
      <c r="I17" s="366"/>
      <c r="J17" s="366"/>
      <c r="K17" s="366"/>
      <c r="L17" s="366"/>
      <c r="M17" s="366"/>
      <c r="N17" s="367"/>
      <c r="P17" s="365" t="s">
        <v>18</v>
      </c>
      <c r="Q17" s="366"/>
      <c r="R17" s="366"/>
      <c r="S17" s="366"/>
      <c r="T17" s="366"/>
      <c r="U17" s="366"/>
      <c r="V17" s="366"/>
      <c r="W17" s="366"/>
      <c r="X17" s="366"/>
      <c r="Y17" s="366"/>
      <c r="Z17" s="367"/>
    </row>
    <row r="18" spans="1:26" ht="13.5" customHeight="1" thickBot="1" x14ac:dyDescent="0.3">
      <c r="A18" s="47" t="s">
        <v>19</v>
      </c>
      <c r="B18" s="53">
        <f>'Crop Comparison'!B27</f>
        <v>16517.495967415569</v>
      </c>
      <c r="C18" s="40"/>
      <c r="D18" s="3"/>
      <c r="E18" s="4"/>
      <c r="F18" s="58"/>
      <c r="G18" s="5"/>
      <c r="H18" s="58"/>
      <c r="I18" s="58"/>
      <c r="J18" s="58" t="s">
        <v>20</v>
      </c>
      <c r="K18" s="59"/>
      <c r="L18" s="58"/>
      <c r="M18" s="59"/>
      <c r="N18" s="58"/>
      <c r="P18" s="3"/>
      <c r="Q18" s="4"/>
      <c r="R18" s="58"/>
      <c r="S18" s="5"/>
      <c r="T18" s="58"/>
      <c r="U18" s="58"/>
      <c r="V18" s="58" t="s">
        <v>20</v>
      </c>
      <c r="W18" s="59"/>
      <c r="X18" s="58"/>
      <c r="Y18" s="59"/>
      <c r="Z18" s="58"/>
    </row>
    <row r="19" spans="1:26" ht="13.5" customHeight="1" thickBot="1" x14ac:dyDescent="0.3">
      <c r="A19" s="47" t="s">
        <v>21</v>
      </c>
      <c r="B19" s="54">
        <f>'W-RR mielies Laer opbrengs '!E27</f>
        <v>7127.22</v>
      </c>
      <c r="C19" s="40"/>
      <c r="D19" s="365" t="s">
        <v>22</v>
      </c>
      <c r="E19" s="367"/>
      <c r="F19" s="6">
        <f>G19-250</f>
        <v>3312</v>
      </c>
      <c r="G19" s="6">
        <f>H19-250</f>
        <v>3562</v>
      </c>
      <c r="H19" s="6">
        <f>I19-250</f>
        <v>3812</v>
      </c>
      <c r="I19" s="6">
        <f>J19-250</f>
        <v>4062</v>
      </c>
      <c r="J19" s="60">
        <f>B24</f>
        <v>4312</v>
      </c>
      <c r="K19" s="6">
        <f>J19+250</f>
        <v>4562</v>
      </c>
      <c r="L19" s="6">
        <f>K19+250</f>
        <v>4812</v>
      </c>
      <c r="M19" s="6">
        <f>L19+250</f>
        <v>5062</v>
      </c>
      <c r="N19" s="6">
        <f>M19+250</f>
        <v>5312</v>
      </c>
      <c r="P19" s="365" t="s">
        <v>22</v>
      </c>
      <c r="Q19" s="367"/>
      <c r="R19" s="6">
        <f>S19-250</f>
        <v>3312</v>
      </c>
      <c r="S19" s="6">
        <f>T19-250</f>
        <v>3562</v>
      </c>
      <c r="T19" s="6">
        <f>U19-250</f>
        <v>3812</v>
      </c>
      <c r="U19" s="6">
        <f>V19-250</f>
        <v>4062</v>
      </c>
      <c r="V19" s="58">
        <f>J19</f>
        <v>4312</v>
      </c>
      <c r="W19" s="6">
        <f>V19+250</f>
        <v>4562</v>
      </c>
      <c r="X19" s="6">
        <f>W19+250</f>
        <v>4812</v>
      </c>
      <c r="Y19" s="6">
        <f>X19+250</f>
        <v>5062</v>
      </c>
      <c r="Z19" s="6">
        <f>Y19+250</f>
        <v>5312</v>
      </c>
    </row>
    <row r="20" spans="1:26" ht="13.5" customHeight="1" thickBot="1" x14ac:dyDescent="0.3">
      <c r="A20" s="48" t="s">
        <v>23</v>
      </c>
      <c r="B20" s="55">
        <f>B19+B18</f>
        <v>23644.71596741557</v>
      </c>
      <c r="C20" s="41"/>
      <c r="D20" s="368" t="s">
        <v>24</v>
      </c>
      <c r="E20" s="369"/>
      <c r="F20" s="7">
        <f t="shared" ref="F20:N20" si="0">F19-$B$25</f>
        <v>2903.84</v>
      </c>
      <c r="G20" s="7">
        <f t="shared" si="0"/>
        <v>3153.84</v>
      </c>
      <c r="H20" s="7">
        <f t="shared" si="0"/>
        <v>3403.84</v>
      </c>
      <c r="I20" s="7">
        <f t="shared" si="0"/>
        <v>3653.84</v>
      </c>
      <c r="J20" s="61">
        <f t="shared" si="0"/>
        <v>3903.84</v>
      </c>
      <c r="K20" s="7">
        <f t="shared" si="0"/>
        <v>4153.84</v>
      </c>
      <c r="L20" s="7">
        <f t="shared" si="0"/>
        <v>4403.84</v>
      </c>
      <c r="M20" s="7">
        <f t="shared" si="0"/>
        <v>4653.84</v>
      </c>
      <c r="N20" s="7">
        <f t="shared" si="0"/>
        <v>4903.84</v>
      </c>
      <c r="P20" s="368" t="s">
        <v>24</v>
      </c>
      <c r="Q20" s="369"/>
      <c r="R20" s="7">
        <f t="shared" ref="R20:Z20" si="1">R19-$B$25</f>
        <v>2903.84</v>
      </c>
      <c r="S20" s="7">
        <f t="shared" si="1"/>
        <v>3153.84</v>
      </c>
      <c r="T20" s="7">
        <f t="shared" si="1"/>
        <v>3403.84</v>
      </c>
      <c r="U20" s="7">
        <f t="shared" si="1"/>
        <v>3653.84</v>
      </c>
      <c r="V20" s="62">
        <f t="shared" si="1"/>
        <v>3903.84</v>
      </c>
      <c r="W20" s="7">
        <f t="shared" si="1"/>
        <v>4153.84</v>
      </c>
      <c r="X20" s="7">
        <f t="shared" si="1"/>
        <v>4403.84</v>
      </c>
      <c r="Y20" s="7">
        <f t="shared" si="1"/>
        <v>4653.84</v>
      </c>
      <c r="Z20" s="7">
        <f t="shared" si="1"/>
        <v>4903.84</v>
      </c>
    </row>
    <row r="21" spans="1:26" ht="13.5" customHeight="1" thickBot="1" x14ac:dyDescent="0.3">
      <c r="A21" s="47"/>
      <c r="B21" s="40"/>
      <c r="C21" s="40"/>
      <c r="D21" s="362" t="s">
        <v>25</v>
      </c>
      <c r="E21" s="8">
        <f>E22-0.5</f>
        <v>3</v>
      </c>
      <c r="F21" s="9">
        <f>F$20-($B$20/$E21)</f>
        <v>-4977.7319891385232</v>
      </c>
      <c r="G21" s="10">
        <f t="shared" ref="F21:N25" si="2">G$20-($B$20/$E21)</f>
        <v>-4727.7319891385232</v>
      </c>
      <c r="H21" s="10">
        <f t="shared" si="2"/>
        <v>-4477.7319891385232</v>
      </c>
      <c r="I21" s="10">
        <f t="shared" si="2"/>
        <v>-4227.7319891385232</v>
      </c>
      <c r="J21" s="10">
        <f t="shared" si="2"/>
        <v>-3977.7319891385232</v>
      </c>
      <c r="K21" s="10">
        <f t="shared" si="2"/>
        <v>-3727.7319891385232</v>
      </c>
      <c r="L21" s="10">
        <f t="shared" si="2"/>
        <v>-3477.7319891385232</v>
      </c>
      <c r="M21" s="11">
        <f t="shared" si="2"/>
        <v>-3227.7319891385232</v>
      </c>
      <c r="N21" s="12">
        <f t="shared" si="2"/>
        <v>-2977.7319891385232</v>
      </c>
      <c r="P21" s="362" t="s">
        <v>25</v>
      </c>
      <c r="Q21" s="8">
        <f>Q22-0.5</f>
        <v>3</v>
      </c>
      <c r="R21" s="9">
        <f>R$20-($B$18/$E21)</f>
        <v>-2601.9919891385225</v>
      </c>
      <c r="S21" s="9">
        <f t="shared" ref="S21:Z25" si="3">S$20-($B$18/$E21)</f>
        <v>-2351.9919891385225</v>
      </c>
      <c r="T21" s="9">
        <f t="shared" si="3"/>
        <v>-2101.9919891385225</v>
      </c>
      <c r="U21" s="9">
        <f t="shared" si="3"/>
        <v>-1851.9919891385225</v>
      </c>
      <c r="V21" s="9">
        <f t="shared" si="3"/>
        <v>-1601.9919891385225</v>
      </c>
      <c r="W21" s="9">
        <f t="shared" si="3"/>
        <v>-1351.9919891385225</v>
      </c>
      <c r="X21" s="9">
        <f t="shared" si="3"/>
        <v>-1101.9919891385225</v>
      </c>
      <c r="Y21" s="9">
        <f t="shared" si="3"/>
        <v>-851.99198913852251</v>
      </c>
      <c r="Z21" s="9">
        <f t="shared" si="3"/>
        <v>-601.99198913852251</v>
      </c>
    </row>
    <row r="22" spans="1:26" ht="13.5" customHeight="1" thickBot="1" x14ac:dyDescent="0.3">
      <c r="A22" s="47" t="s">
        <v>26</v>
      </c>
      <c r="B22" s="63">
        <v>4</v>
      </c>
      <c r="C22" s="40"/>
      <c r="D22" s="363"/>
      <c r="E22" s="8">
        <f>E23-0.5</f>
        <v>3.5</v>
      </c>
      <c r="F22" s="13">
        <f t="shared" si="2"/>
        <v>-3851.7931335473058</v>
      </c>
      <c r="G22" s="14">
        <f t="shared" si="2"/>
        <v>-3601.7931335473058</v>
      </c>
      <c r="H22" s="14">
        <f t="shared" si="2"/>
        <v>-3351.7931335473058</v>
      </c>
      <c r="I22" s="14">
        <f t="shared" si="2"/>
        <v>-3101.7931335473058</v>
      </c>
      <c r="J22" s="14">
        <f t="shared" si="2"/>
        <v>-2851.7931335473058</v>
      </c>
      <c r="K22" s="15">
        <f t="shared" si="2"/>
        <v>-2601.7931335473058</v>
      </c>
      <c r="L22" s="15">
        <f t="shared" si="2"/>
        <v>-2351.7931335473058</v>
      </c>
      <c r="M22" s="15">
        <f t="shared" si="2"/>
        <v>-2101.7931335473058</v>
      </c>
      <c r="N22" s="16">
        <f t="shared" si="2"/>
        <v>-1851.7931335473058</v>
      </c>
      <c r="P22" s="363"/>
      <c r="Q22" s="8">
        <f>Q23-0.5</f>
        <v>3.5</v>
      </c>
      <c r="R22" s="9">
        <f>R$20-($B$18/$E22)</f>
        <v>-1815.4445621187342</v>
      </c>
      <c r="S22" s="9">
        <f t="shared" si="3"/>
        <v>-1565.4445621187342</v>
      </c>
      <c r="T22" s="9">
        <f t="shared" si="3"/>
        <v>-1315.4445621187342</v>
      </c>
      <c r="U22" s="9">
        <f t="shared" si="3"/>
        <v>-1065.4445621187342</v>
      </c>
      <c r="V22" s="9">
        <f t="shared" si="3"/>
        <v>-815.44456211873421</v>
      </c>
      <c r="W22" s="9">
        <f t="shared" si="3"/>
        <v>-565.44456211873421</v>
      </c>
      <c r="X22" s="9">
        <f t="shared" si="3"/>
        <v>-315.44456211873421</v>
      </c>
      <c r="Y22" s="9">
        <f t="shared" si="3"/>
        <v>-65.444562118734211</v>
      </c>
      <c r="Z22" s="9">
        <f t="shared" si="3"/>
        <v>184.55543788126579</v>
      </c>
    </row>
    <row r="23" spans="1:26" ht="13.5" customHeight="1" thickBot="1" x14ac:dyDescent="0.3">
      <c r="A23" s="47"/>
      <c r="B23" s="40"/>
      <c r="C23" s="40"/>
      <c r="D23" s="363"/>
      <c r="E23" s="64">
        <f>B22</f>
        <v>4</v>
      </c>
      <c r="F23" s="13">
        <f t="shared" si="2"/>
        <v>-3007.3389918538924</v>
      </c>
      <c r="G23" s="14">
        <f t="shared" si="2"/>
        <v>-2757.3389918538924</v>
      </c>
      <c r="H23" s="14">
        <f>H$20-($B$20/$E23)</f>
        <v>-2507.3389918538924</v>
      </c>
      <c r="I23" s="14">
        <f>I$20-($B$20/$E23)</f>
        <v>-2257.3389918538924</v>
      </c>
      <c r="J23" s="56">
        <f t="shared" si="2"/>
        <v>-2007.3389918538924</v>
      </c>
      <c r="K23" s="15">
        <f t="shared" si="2"/>
        <v>-1757.3389918538924</v>
      </c>
      <c r="L23" s="15">
        <f t="shared" si="2"/>
        <v>-1507.3389918538924</v>
      </c>
      <c r="M23" s="15">
        <f>M$20-($B$20/$E23)</f>
        <v>-1257.3389918538924</v>
      </c>
      <c r="N23" s="16">
        <f t="shared" si="2"/>
        <v>-1007.3389918538924</v>
      </c>
      <c r="P23" s="363"/>
      <c r="Q23" s="64">
        <f>E23</f>
        <v>4</v>
      </c>
      <c r="R23" s="9">
        <f>R$20-($B$18/$E23)</f>
        <v>-1225.5339918538921</v>
      </c>
      <c r="S23" s="9">
        <f>S$20-($B$18/$E23)</f>
        <v>-975.53399185389208</v>
      </c>
      <c r="T23" s="9">
        <f t="shared" si="3"/>
        <v>-725.53399185389208</v>
      </c>
      <c r="U23" s="9">
        <f t="shared" si="3"/>
        <v>-475.53399185389208</v>
      </c>
      <c r="V23" s="9">
        <f t="shared" si="3"/>
        <v>-225.53399185389208</v>
      </c>
      <c r="W23" s="9">
        <f t="shared" si="3"/>
        <v>24.466008146107924</v>
      </c>
      <c r="X23" s="9">
        <f t="shared" si="3"/>
        <v>274.46600814610792</v>
      </c>
      <c r="Y23" s="9">
        <f t="shared" si="3"/>
        <v>524.46600814610792</v>
      </c>
      <c r="Z23" s="9">
        <f t="shared" si="3"/>
        <v>774.46600814610792</v>
      </c>
    </row>
    <row r="24" spans="1:26" ht="13.5" customHeight="1" thickBot="1" x14ac:dyDescent="0.3">
      <c r="A24" s="47" t="s">
        <v>174</v>
      </c>
      <c r="B24" s="53">
        <f>$B$4</f>
        <v>4312</v>
      </c>
      <c r="C24" s="40"/>
      <c r="D24" s="363"/>
      <c r="E24" s="8">
        <f>E23+0.5</f>
        <v>4.5</v>
      </c>
      <c r="F24" s="13">
        <f t="shared" si="2"/>
        <v>-2350.5413260923488</v>
      </c>
      <c r="G24" s="14">
        <f t="shared" si="2"/>
        <v>-2100.5413260923488</v>
      </c>
      <c r="H24" s="14">
        <f t="shared" si="2"/>
        <v>-1850.5413260923488</v>
      </c>
      <c r="I24" s="15">
        <f t="shared" si="2"/>
        <v>-1600.5413260923488</v>
      </c>
      <c r="J24" s="15">
        <f t="shared" si="2"/>
        <v>-1350.5413260923488</v>
      </c>
      <c r="K24" s="15">
        <f t="shared" si="2"/>
        <v>-1100.5413260923488</v>
      </c>
      <c r="L24" s="15">
        <f t="shared" si="2"/>
        <v>-850.54132609234875</v>
      </c>
      <c r="M24" s="15">
        <f t="shared" si="2"/>
        <v>-600.54132609234875</v>
      </c>
      <c r="N24" s="16">
        <f t="shared" si="2"/>
        <v>-350.54132609234875</v>
      </c>
      <c r="P24" s="363"/>
      <c r="Q24" s="8">
        <f>Q23+0.5</f>
        <v>4.5</v>
      </c>
      <c r="R24" s="9">
        <f>R$20-($B$18/$E24)</f>
        <v>-766.71465942568193</v>
      </c>
      <c r="S24" s="9">
        <f t="shared" si="3"/>
        <v>-516.71465942568193</v>
      </c>
      <c r="T24" s="9">
        <f t="shared" si="3"/>
        <v>-266.71465942568193</v>
      </c>
      <c r="U24" s="9">
        <f t="shared" si="3"/>
        <v>-16.71465942568193</v>
      </c>
      <c r="V24" s="9">
        <f t="shared" si="3"/>
        <v>233.28534057431807</v>
      </c>
      <c r="W24" s="9">
        <f t="shared" si="3"/>
        <v>483.28534057431807</v>
      </c>
      <c r="X24" s="9">
        <f t="shared" si="3"/>
        <v>733.28534057431807</v>
      </c>
      <c r="Y24" s="9">
        <f t="shared" si="3"/>
        <v>983.28534057431807</v>
      </c>
      <c r="Z24" s="9">
        <f t="shared" si="3"/>
        <v>1233.2853405743181</v>
      </c>
    </row>
    <row r="25" spans="1:26" ht="13.5" customHeight="1" thickBot="1" x14ac:dyDescent="0.3">
      <c r="A25" s="49" t="s">
        <v>27</v>
      </c>
      <c r="B25" s="54">
        <f>D4</f>
        <v>408.16</v>
      </c>
      <c r="C25" s="40"/>
      <c r="D25" s="364"/>
      <c r="E25" s="8">
        <f>E24+0.5</f>
        <v>5</v>
      </c>
      <c r="F25" s="17">
        <f t="shared" si="2"/>
        <v>-1825.1031934831135</v>
      </c>
      <c r="G25" s="18">
        <f t="shared" si="2"/>
        <v>-1575.1031934831135</v>
      </c>
      <c r="H25" s="19">
        <f t="shared" si="2"/>
        <v>-1325.1031934831135</v>
      </c>
      <c r="I25" s="19">
        <f t="shared" si="2"/>
        <v>-1075.1031934831135</v>
      </c>
      <c r="J25" s="19">
        <f t="shared" si="2"/>
        <v>-825.1031934831135</v>
      </c>
      <c r="K25" s="19">
        <f t="shared" si="2"/>
        <v>-575.1031934831135</v>
      </c>
      <c r="L25" s="19">
        <f t="shared" si="2"/>
        <v>-325.1031934831135</v>
      </c>
      <c r="M25" s="19">
        <f t="shared" si="2"/>
        <v>-75.1031934831135</v>
      </c>
      <c r="N25" s="20">
        <f>N$20-($B$20/$E25)</f>
        <v>174.8968065168865</v>
      </c>
      <c r="P25" s="364"/>
      <c r="Q25" s="8">
        <f>Q24+0.5</f>
        <v>5</v>
      </c>
      <c r="R25" s="9">
        <f>R$20-($B$18/$E25)</f>
        <v>-399.65919348311354</v>
      </c>
      <c r="S25" s="9">
        <f>S$20-($B$18/$E25)</f>
        <v>-149.65919348311354</v>
      </c>
      <c r="T25" s="9">
        <f t="shared" si="3"/>
        <v>100.34080651688646</v>
      </c>
      <c r="U25" s="9">
        <f t="shared" si="3"/>
        <v>350.34080651688646</v>
      </c>
      <c r="V25" s="9">
        <f t="shared" si="3"/>
        <v>600.34080651688646</v>
      </c>
      <c r="W25" s="9">
        <f t="shared" si="3"/>
        <v>850.34080651688646</v>
      </c>
      <c r="X25" s="9">
        <f t="shared" si="3"/>
        <v>1100.3408065168865</v>
      </c>
      <c r="Y25" s="9">
        <f t="shared" si="3"/>
        <v>1350.3408065168865</v>
      </c>
      <c r="Z25" s="9">
        <f t="shared" si="3"/>
        <v>1600.3408065168865</v>
      </c>
    </row>
    <row r="26" spans="1:26" ht="13.5" customHeight="1" x14ac:dyDescent="0.25">
      <c r="A26" s="42" t="s">
        <v>28</v>
      </c>
      <c r="B26" s="55">
        <f>B24-B25</f>
        <v>3903.84</v>
      </c>
      <c r="C26" s="40"/>
      <c r="D26" s="21"/>
      <c r="E26" s="22"/>
      <c r="F26" s="23"/>
      <c r="G26" s="23"/>
      <c r="H26" s="23"/>
      <c r="I26" s="23"/>
      <c r="J26" s="23"/>
      <c r="K26" s="23"/>
      <c r="L26" s="23"/>
      <c r="P26" s="21"/>
      <c r="Q26" s="22"/>
      <c r="R26" s="23"/>
      <c r="S26" s="23"/>
      <c r="T26" s="23"/>
      <c r="U26" s="23"/>
      <c r="V26" s="23"/>
      <c r="W26" s="23"/>
      <c r="X26" s="23"/>
    </row>
    <row r="27" spans="1:26" ht="13.5" customHeight="1" x14ac:dyDescent="0.25">
      <c r="A27" s="42"/>
      <c r="B27" s="41"/>
      <c r="C27" s="40"/>
      <c r="D27" s="21"/>
      <c r="E27" s="22"/>
      <c r="F27" s="23"/>
      <c r="G27" s="23"/>
      <c r="H27" s="23"/>
      <c r="I27" s="23"/>
      <c r="J27" s="23"/>
      <c r="K27" s="23"/>
      <c r="L27" s="23"/>
      <c r="P27" s="21"/>
      <c r="Q27" s="22"/>
      <c r="R27" s="23"/>
      <c r="S27" s="23"/>
      <c r="T27" s="23"/>
      <c r="U27" s="23"/>
      <c r="V27" s="23"/>
      <c r="W27" s="23"/>
      <c r="X27" s="23"/>
    </row>
    <row r="28" spans="1:26" ht="13.5" customHeight="1" x14ac:dyDescent="0.25">
      <c r="A28" s="42"/>
      <c r="B28" s="41"/>
      <c r="C28" s="40"/>
      <c r="D28" s="21"/>
      <c r="E28" s="22"/>
      <c r="F28" s="23"/>
      <c r="G28" s="23"/>
      <c r="H28" s="23"/>
      <c r="I28" s="23"/>
      <c r="J28" s="23"/>
      <c r="K28" s="23"/>
      <c r="L28" s="23"/>
      <c r="P28" s="21"/>
      <c r="Q28" s="22"/>
      <c r="R28" s="23"/>
      <c r="S28" s="23"/>
      <c r="T28" s="23"/>
      <c r="U28" s="23"/>
      <c r="V28" s="23"/>
      <c r="W28" s="23"/>
      <c r="X28" s="23"/>
    </row>
    <row r="29" spans="1:26" s="2" customFormat="1" ht="33.75" customHeight="1" thickBot="1" x14ac:dyDescent="0.35">
      <c r="A29" s="360"/>
      <c r="B29" s="360"/>
      <c r="C29" s="28"/>
      <c r="D29" s="1"/>
      <c r="E29" s="1"/>
      <c r="F29" s="1"/>
      <c r="G29" s="1"/>
      <c r="H29" s="1"/>
      <c r="I29" s="1"/>
      <c r="J29" s="1"/>
      <c r="K29" s="1"/>
      <c r="L29" s="1"/>
      <c r="M29" s="1"/>
      <c r="N29" s="1"/>
    </row>
    <row r="30" spans="1:26" ht="28.5" customHeight="1" thickBot="1" x14ac:dyDescent="0.3">
      <c r="A30" s="361" t="s">
        <v>29</v>
      </c>
      <c r="B30" s="361"/>
      <c r="C30" s="39"/>
      <c r="D30" s="365" t="s">
        <v>17</v>
      </c>
      <c r="E30" s="366"/>
      <c r="F30" s="366"/>
      <c r="G30" s="366"/>
      <c r="H30" s="366"/>
      <c r="I30" s="366"/>
      <c r="J30" s="366"/>
      <c r="K30" s="366"/>
      <c r="L30" s="366"/>
      <c r="M30" s="366"/>
      <c r="N30" s="367"/>
      <c r="P30" s="365" t="s">
        <v>18</v>
      </c>
      <c r="Q30" s="366"/>
      <c r="R30" s="366"/>
      <c r="S30" s="366"/>
      <c r="T30" s="366"/>
      <c r="U30" s="366"/>
      <c r="V30" s="366"/>
      <c r="W30" s="366"/>
      <c r="X30" s="366"/>
      <c r="Y30" s="366"/>
      <c r="Z30" s="367"/>
    </row>
    <row r="31" spans="1:26" ht="13.5" customHeight="1" thickBot="1" x14ac:dyDescent="0.3">
      <c r="A31" s="47" t="s">
        <v>19</v>
      </c>
      <c r="B31" s="53">
        <f>'Crop Comparison'!C27</f>
        <v>22591.126233026087</v>
      </c>
      <c r="C31" s="40"/>
      <c r="D31" s="3"/>
      <c r="E31" s="4"/>
      <c r="F31" s="58"/>
      <c r="G31" s="5"/>
      <c r="H31" s="58"/>
      <c r="I31" s="58"/>
      <c r="J31" s="58" t="s">
        <v>20</v>
      </c>
      <c r="K31" s="59"/>
      <c r="L31" s="58"/>
      <c r="M31" s="59"/>
      <c r="N31" s="58"/>
      <c r="P31" s="3"/>
      <c r="Q31" s="4"/>
      <c r="R31" s="58"/>
      <c r="S31" s="5"/>
      <c r="T31" s="58"/>
      <c r="U31" s="58"/>
      <c r="V31" s="58" t="s">
        <v>20</v>
      </c>
      <c r="W31" s="59"/>
      <c r="X31" s="58"/>
      <c r="Y31" s="59"/>
      <c r="Z31" s="58"/>
    </row>
    <row r="32" spans="1:26" ht="13.5" customHeight="1" thickBot="1" x14ac:dyDescent="0.3">
      <c r="A32" s="47" t="s">
        <v>21</v>
      </c>
      <c r="B32" s="54">
        <f>'W-RR mielies Hoer opbrengs  '!G27</f>
        <v>7328.6099999999988</v>
      </c>
      <c r="C32" s="40"/>
      <c r="D32" s="365" t="s">
        <v>22</v>
      </c>
      <c r="E32" s="367"/>
      <c r="F32" s="6">
        <f>G32-250</f>
        <v>3312</v>
      </c>
      <c r="G32" s="6">
        <f>H32-250</f>
        <v>3562</v>
      </c>
      <c r="H32" s="6">
        <f>I32-250</f>
        <v>3812</v>
      </c>
      <c r="I32" s="6">
        <f>J32-250</f>
        <v>4062</v>
      </c>
      <c r="J32" s="60">
        <f>B37</f>
        <v>4312</v>
      </c>
      <c r="K32" s="6">
        <f>J32+250</f>
        <v>4562</v>
      </c>
      <c r="L32" s="6">
        <f>K32+250</f>
        <v>4812</v>
      </c>
      <c r="M32" s="6">
        <f>L32+250</f>
        <v>5062</v>
      </c>
      <c r="N32" s="6">
        <f>M32+250</f>
        <v>5312</v>
      </c>
      <c r="P32" s="365" t="s">
        <v>22</v>
      </c>
      <c r="Q32" s="367"/>
      <c r="R32" s="6">
        <f>S32-250</f>
        <v>3312</v>
      </c>
      <c r="S32" s="6">
        <f>T32-250</f>
        <v>3562</v>
      </c>
      <c r="T32" s="6">
        <f>U32-250</f>
        <v>3812</v>
      </c>
      <c r="U32" s="6">
        <f>V32-250</f>
        <v>4062</v>
      </c>
      <c r="V32" s="58">
        <f>J32</f>
        <v>4312</v>
      </c>
      <c r="W32" s="6">
        <f>V32+250</f>
        <v>4562</v>
      </c>
      <c r="X32" s="6">
        <f>W32+250</f>
        <v>4812</v>
      </c>
      <c r="Y32" s="6">
        <f>X32+250</f>
        <v>5062</v>
      </c>
      <c r="Z32" s="6">
        <f>Y32+250</f>
        <v>5312</v>
      </c>
    </row>
    <row r="33" spans="1:26" ht="13.5" customHeight="1" thickBot="1" x14ac:dyDescent="0.3">
      <c r="A33" s="48" t="s">
        <v>23</v>
      </c>
      <c r="B33" s="55">
        <f>B32+B31</f>
        <v>29919.736233026088</v>
      </c>
      <c r="C33" s="41"/>
      <c r="D33" s="368" t="s">
        <v>24</v>
      </c>
      <c r="E33" s="369"/>
      <c r="F33" s="7">
        <f t="shared" ref="F33:N33" si="4">F32-$B$25</f>
        <v>2903.84</v>
      </c>
      <c r="G33" s="7">
        <f t="shared" si="4"/>
        <v>3153.84</v>
      </c>
      <c r="H33" s="7">
        <f t="shared" si="4"/>
        <v>3403.84</v>
      </c>
      <c r="I33" s="7">
        <f t="shared" si="4"/>
        <v>3653.84</v>
      </c>
      <c r="J33" s="61">
        <f>J32-$B$25</f>
        <v>3903.84</v>
      </c>
      <c r="K33" s="7">
        <f t="shared" si="4"/>
        <v>4153.84</v>
      </c>
      <c r="L33" s="7">
        <f t="shared" si="4"/>
        <v>4403.84</v>
      </c>
      <c r="M33" s="7">
        <f t="shared" si="4"/>
        <v>4653.84</v>
      </c>
      <c r="N33" s="7">
        <f t="shared" si="4"/>
        <v>4903.84</v>
      </c>
      <c r="P33" s="368" t="s">
        <v>24</v>
      </c>
      <c r="Q33" s="369"/>
      <c r="R33" s="7">
        <f t="shared" ref="R33:Z33" si="5">R32-$B$25</f>
        <v>2903.84</v>
      </c>
      <c r="S33" s="7">
        <f t="shared" si="5"/>
        <v>3153.84</v>
      </c>
      <c r="T33" s="7">
        <f t="shared" si="5"/>
        <v>3403.84</v>
      </c>
      <c r="U33" s="7">
        <f t="shared" si="5"/>
        <v>3653.84</v>
      </c>
      <c r="V33" s="62">
        <f t="shared" si="5"/>
        <v>3903.84</v>
      </c>
      <c r="W33" s="7">
        <f t="shared" si="5"/>
        <v>4153.84</v>
      </c>
      <c r="X33" s="7">
        <f t="shared" si="5"/>
        <v>4403.84</v>
      </c>
      <c r="Y33" s="7">
        <f t="shared" si="5"/>
        <v>4653.84</v>
      </c>
      <c r="Z33" s="7">
        <f t="shared" si="5"/>
        <v>4903.84</v>
      </c>
    </row>
    <row r="34" spans="1:26" ht="13.5" customHeight="1" thickBot="1" x14ac:dyDescent="0.3">
      <c r="A34" s="47"/>
      <c r="B34" s="40"/>
      <c r="C34" s="40"/>
      <c r="D34" s="362" t="s">
        <v>25</v>
      </c>
      <c r="E34" s="8">
        <f>E35-0.5</f>
        <v>5</v>
      </c>
      <c r="F34" s="9">
        <f t="shared" ref="F34:N38" si="6">F$33-($B$33/$E34)</f>
        <v>-3080.1072466052174</v>
      </c>
      <c r="G34" s="9">
        <f t="shared" si="6"/>
        <v>-2830.1072466052174</v>
      </c>
      <c r="H34" s="9">
        <f t="shared" si="6"/>
        <v>-2580.1072466052174</v>
      </c>
      <c r="I34" s="9">
        <f t="shared" si="6"/>
        <v>-2330.1072466052174</v>
      </c>
      <c r="J34" s="9">
        <f t="shared" si="6"/>
        <v>-2080.1072466052174</v>
      </c>
      <c r="K34" s="9">
        <f t="shared" si="6"/>
        <v>-1830.1072466052174</v>
      </c>
      <c r="L34" s="9">
        <f t="shared" si="6"/>
        <v>-1580.1072466052174</v>
      </c>
      <c r="M34" s="9">
        <f t="shared" si="6"/>
        <v>-1330.1072466052174</v>
      </c>
      <c r="N34" s="9">
        <f t="shared" si="6"/>
        <v>-1080.1072466052174</v>
      </c>
      <c r="P34" s="362" t="s">
        <v>25</v>
      </c>
      <c r="Q34" s="8">
        <f>Q35-0.5</f>
        <v>5</v>
      </c>
      <c r="R34" s="9">
        <f t="shared" ref="R34:Z38" si="7">R$33-($B$31/$E34)</f>
        <v>-1614.3852466052176</v>
      </c>
      <c r="S34" s="9">
        <f t="shared" si="7"/>
        <v>-1364.3852466052176</v>
      </c>
      <c r="T34" s="9">
        <f t="shared" si="7"/>
        <v>-1114.3852466052176</v>
      </c>
      <c r="U34" s="9">
        <f t="shared" si="7"/>
        <v>-864.38524660521762</v>
      </c>
      <c r="V34" s="9">
        <f t="shared" si="7"/>
        <v>-614.38524660521762</v>
      </c>
      <c r="W34" s="9">
        <f t="shared" si="7"/>
        <v>-364.38524660521762</v>
      </c>
      <c r="X34" s="9">
        <f t="shared" si="7"/>
        <v>-114.38524660521762</v>
      </c>
      <c r="Y34" s="9">
        <f t="shared" si="7"/>
        <v>135.61475339478238</v>
      </c>
      <c r="Z34" s="9">
        <f t="shared" si="7"/>
        <v>385.61475339478238</v>
      </c>
    </row>
    <row r="35" spans="1:26" ht="13.5" customHeight="1" thickBot="1" x14ac:dyDescent="0.3">
      <c r="A35" s="47" t="s">
        <v>26</v>
      </c>
      <c r="B35" s="63">
        <v>6</v>
      </c>
      <c r="C35" s="40"/>
      <c r="D35" s="363"/>
      <c r="E35" s="8">
        <f>E36-0.5</f>
        <v>5.5</v>
      </c>
      <c r="F35" s="9">
        <f t="shared" si="6"/>
        <v>-2536.1120423683797</v>
      </c>
      <c r="G35" s="9">
        <f t="shared" si="6"/>
        <v>-2286.1120423683797</v>
      </c>
      <c r="H35" s="9">
        <f t="shared" si="6"/>
        <v>-2036.1120423683797</v>
      </c>
      <c r="I35" s="9">
        <f t="shared" si="6"/>
        <v>-1786.1120423683797</v>
      </c>
      <c r="J35" s="9">
        <f t="shared" si="6"/>
        <v>-1536.1120423683797</v>
      </c>
      <c r="K35" s="9">
        <f t="shared" si="6"/>
        <v>-1286.1120423683797</v>
      </c>
      <c r="L35" s="9">
        <f t="shared" si="6"/>
        <v>-1036.1120423683797</v>
      </c>
      <c r="M35" s="9">
        <f t="shared" si="6"/>
        <v>-786.11204236837966</v>
      </c>
      <c r="N35" s="9">
        <f t="shared" si="6"/>
        <v>-536.11204236837966</v>
      </c>
      <c r="P35" s="363"/>
      <c r="Q35" s="8">
        <f>Q36-0.5</f>
        <v>5.5</v>
      </c>
      <c r="R35" s="9">
        <f t="shared" si="7"/>
        <v>-1203.6374969138342</v>
      </c>
      <c r="S35" s="9">
        <f t="shared" si="7"/>
        <v>-953.63749691383418</v>
      </c>
      <c r="T35" s="9">
        <f t="shared" si="7"/>
        <v>-703.63749691383418</v>
      </c>
      <c r="U35" s="9">
        <f t="shared" si="7"/>
        <v>-453.63749691383418</v>
      </c>
      <c r="V35" s="9">
        <f t="shared" si="7"/>
        <v>-203.63749691383418</v>
      </c>
      <c r="W35" s="9">
        <f t="shared" si="7"/>
        <v>46.362503086165816</v>
      </c>
      <c r="X35" s="9">
        <f t="shared" si="7"/>
        <v>296.36250308616582</v>
      </c>
      <c r="Y35" s="9">
        <f t="shared" si="7"/>
        <v>546.36250308616582</v>
      </c>
      <c r="Z35" s="9">
        <f t="shared" si="7"/>
        <v>796.36250308616582</v>
      </c>
    </row>
    <row r="36" spans="1:26" ht="13.5" customHeight="1" thickBot="1" x14ac:dyDescent="0.3">
      <c r="A36" s="47"/>
      <c r="B36" s="40"/>
      <c r="C36" s="40"/>
      <c r="D36" s="363"/>
      <c r="E36" s="64">
        <f>B35</f>
        <v>6</v>
      </c>
      <c r="F36" s="9">
        <f t="shared" si="6"/>
        <v>-2082.7827055043481</v>
      </c>
      <c r="G36" s="9">
        <f t="shared" si="6"/>
        <v>-1832.7827055043481</v>
      </c>
      <c r="H36" s="9">
        <f t="shared" si="6"/>
        <v>-1582.7827055043481</v>
      </c>
      <c r="I36" s="9">
        <f>I$33-($B$33/$E36)</f>
        <v>-1332.7827055043481</v>
      </c>
      <c r="J36" s="57">
        <f t="shared" si="6"/>
        <v>-1082.7827055043481</v>
      </c>
      <c r="K36" s="9">
        <f t="shared" si="6"/>
        <v>-832.78270550434809</v>
      </c>
      <c r="L36" s="9">
        <f t="shared" si="6"/>
        <v>-582.78270550434809</v>
      </c>
      <c r="M36" s="9">
        <f t="shared" si="6"/>
        <v>-332.78270550434809</v>
      </c>
      <c r="N36" s="9">
        <f t="shared" si="6"/>
        <v>-82.782705504348087</v>
      </c>
      <c r="P36" s="363"/>
      <c r="Q36" s="64">
        <f>E36</f>
        <v>6</v>
      </c>
      <c r="R36" s="9">
        <f t="shared" si="7"/>
        <v>-861.34770550434769</v>
      </c>
      <c r="S36" s="9">
        <f t="shared" si="7"/>
        <v>-611.34770550434769</v>
      </c>
      <c r="T36" s="9">
        <f t="shared" si="7"/>
        <v>-361.34770550434769</v>
      </c>
      <c r="U36" s="9">
        <f t="shared" si="7"/>
        <v>-111.34770550434769</v>
      </c>
      <c r="V36" s="9">
        <f t="shared" si="7"/>
        <v>138.65229449565231</v>
      </c>
      <c r="W36" s="9">
        <f t="shared" si="7"/>
        <v>388.65229449565231</v>
      </c>
      <c r="X36" s="9">
        <f t="shared" si="7"/>
        <v>638.65229449565231</v>
      </c>
      <c r="Y36" s="9">
        <f t="shared" si="7"/>
        <v>888.65229449565231</v>
      </c>
      <c r="Z36" s="9">
        <f t="shared" si="7"/>
        <v>1138.6522944956523</v>
      </c>
    </row>
    <row r="37" spans="1:26" ht="13.5" customHeight="1" thickBot="1" x14ac:dyDescent="0.3">
      <c r="A37" s="47" t="s">
        <v>174</v>
      </c>
      <c r="B37" s="53">
        <f>B4</f>
        <v>4312</v>
      </c>
      <c r="C37" s="40"/>
      <c r="D37" s="363"/>
      <c r="E37" s="8">
        <f>E36+0.5</f>
        <v>6.5</v>
      </c>
      <c r="F37" s="9">
        <f t="shared" si="6"/>
        <v>-1699.196343542475</v>
      </c>
      <c r="G37" s="9">
        <f t="shared" si="6"/>
        <v>-1449.196343542475</v>
      </c>
      <c r="H37" s="9">
        <f t="shared" si="6"/>
        <v>-1199.196343542475</v>
      </c>
      <c r="I37" s="9">
        <f t="shared" si="6"/>
        <v>-949.19634354247501</v>
      </c>
      <c r="J37" s="9">
        <f t="shared" si="6"/>
        <v>-699.19634354247501</v>
      </c>
      <c r="K37" s="9">
        <f t="shared" si="6"/>
        <v>-449.19634354247501</v>
      </c>
      <c r="L37" s="9">
        <f t="shared" si="6"/>
        <v>-199.19634354247501</v>
      </c>
      <c r="M37" s="9">
        <f t="shared" si="6"/>
        <v>50.803656457524994</v>
      </c>
      <c r="N37" s="9">
        <f t="shared" si="6"/>
        <v>300.80365645752499</v>
      </c>
      <c r="P37" s="363"/>
      <c r="Q37" s="8">
        <f>Q36+0.5</f>
        <v>6.5</v>
      </c>
      <c r="R37" s="9">
        <f t="shared" si="7"/>
        <v>-571.71788200401306</v>
      </c>
      <c r="S37" s="9">
        <f t="shared" si="7"/>
        <v>-321.71788200401306</v>
      </c>
      <c r="T37" s="9">
        <f t="shared" si="7"/>
        <v>-71.717882004013063</v>
      </c>
      <c r="U37" s="9">
        <f t="shared" si="7"/>
        <v>178.28211799598694</v>
      </c>
      <c r="V37" s="9">
        <f t="shared" si="7"/>
        <v>428.28211799598694</v>
      </c>
      <c r="W37" s="9">
        <f t="shared" si="7"/>
        <v>678.28211799598694</v>
      </c>
      <c r="X37" s="9">
        <f t="shared" si="7"/>
        <v>928.28211799598694</v>
      </c>
      <c r="Y37" s="9">
        <f t="shared" si="7"/>
        <v>1178.2821179959869</v>
      </c>
      <c r="Z37" s="9">
        <f t="shared" si="7"/>
        <v>1428.2821179959869</v>
      </c>
    </row>
    <row r="38" spans="1:26" ht="13.5" customHeight="1" thickBot="1" x14ac:dyDescent="0.3">
      <c r="A38" s="49" t="s">
        <v>27</v>
      </c>
      <c r="B38" s="54">
        <v>420</v>
      </c>
      <c r="C38" s="40"/>
      <c r="D38" s="364"/>
      <c r="E38" s="8">
        <f>E37+0.5</f>
        <v>7</v>
      </c>
      <c r="F38" s="9">
        <f>F$33-($B$33/$E38)</f>
        <v>-1370.4080332894409</v>
      </c>
      <c r="G38" s="9">
        <f t="shared" si="6"/>
        <v>-1120.4080332894409</v>
      </c>
      <c r="H38" s="9">
        <f t="shared" si="6"/>
        <v>-870.40803328944094</v>
      </c>
      <c r="I38" s="9">
        <f t="shared" si="6"/>
        <v>-620.40803328944094</v>
      </c>
      <c r="J38" s="9">
        <f t="shared" si="6"/>
        <v>-370.40803328944094</v>
      </c>
      <c r="K38" s="9">
        <f t="shared" si="6"/>
        <v>-120.40803328944094</v>
      </c>
      <c r="L38" s="9">
        <f t="shared" si="6"/>
        <v>129.59196671055906</v>
      </c>
      <c r="M38" s="9">
        <f t="shared" si="6"/>
        <v>379.59196671055906</v>
      </c>
      <c r="N38" s="9">
        <f>N$33-($B$33/$E38)</f>
        <v>629.59196671055906</v>
      </c>
      <c r="P38" s="364"/>
      <c r="Q38" s="8">
        <f>Q37+0.5</f>
        <v>7</v>
      </c>
      <c r="R38" s="9">
        <f>R$33-($B$31/$E38)</f>
        <v>-323.46374757515514</v>
      </c>
      <c r="S38" s="9">
        <f t="shared" si="7"/>
        <v>-73.463747575155139</v>
      </c>
      <c r="T38" s="9">
        <f t="shared" si="7"/>
        <v>176.53625242484486</v>
      </c>
      <c r="U38" s="9">
        <f t="shared" si="7"/>
        <v>426.53625242484486</v>
      </c>
      <c r="V38" s="9">
        <f t="shared" si="7"/>
        <v>676.53625242484486</v>
      </c>
      <c r="W38" s="9">
        <f t="shared" si="7"/>
        <v>926.53625242484486</v>
      </c>
      <c r="X38" s="9">
        <f t="shared" si="7"/>
        <v>1176.5362524248449</v>
      </c>
      <c r="Y38" s="9">
        <f t="shared" si="7"/>
        <v>1426.5362524248449</v>
      </c>
      <c r="Z38" s="9">
        <f t="shared" si="7"/>
        <v>1676.5362524248449</v>
      </c>
    </row>
    <row r="39" spans="1:26" ht="13.5" customHeight="1" x14ac:dyDescent="0.25">
      <c r="A39" s="42" t="s">
        <v>28</v>
      </c>
      <c r="B39" s="55">
        <f>B37-B38</f>
        <v>3892</v>
      </c>
      <c r="C39" s="40"/>
      <c r="D39" s="21"/>
      <c r="E39" s="22"/>
      <c r="F39" s="23"/>
      <c r="G39" s="23"/>
      <c r="H39" s="23"/>
      <c r="I39" s="23"/>
      <c r="J39" s="23"/>
      <c r="K39" s="23"/>
      <c r="L39" s="23"/>
      <c r="P39" s="21"/>
      <c r="Q39" s="22"/>
      <c r="R39" s="23"/>
      <c r="S39" s="23"/>
      <c r="T39" s="23"/>
      <c r="U39" s="23"/>
      <c r="V39" s="23"/>
      <c r="W39" s="23"/>
      <c r="X39" s="23"/>
    </row>
    <row r="40" spans="1:26" ht="13.5" customHeight="1" x14ac:dyDescent="0.25">
      <c r="A40" s="42"/>
      <c r="B40" s="41"/>
      <c r="C40" s="40"/>
      <c r="D40" s="21"/>
      <c r="E40" s="22"/>
      <c r="F40" s="23"/>
      <c r="G40" s="23"/>
      <c r="H40" s="23"/>
      <c r="I40" s="23"/>
      <c r="J40" s="23"/>
      <c r="K40" s="23"/>
      <c r="L40" s="23"/>
      <c r="P40" s="21"/>
      <c r="Q40" s="22"/>
      <c r="R40" s="23"/>
      <c r="S40" s="23"/>
      <c r="T40" s="23"/>
      <c r="U40" s="23"/>
      <c r="V40" s="23"/>
      <c r="W40" s="23"/>
      <c r="X40" s="23"/>
    </row>
    <row r="41" spans="1:26" ht="13.5" customHeight="1" x14ac:dyDescent="0.25">
      <c r="A41" s="42"/>
      <c r="B41" s="41"/>
      <c r="C41" s="40"/>
      <c r="D41" s="21"/>
      <c r="E41" s="22"/>
      <c r="F41" s="23"/>
      <c r="G41" s="23"/>
      <c r="H41" s="23"/>
      <c r="I41" s="23"/>
      <c r="J41" s="23"/>
      <c r="K41" s="23"/>
      <c r="L41" s="23"/>
      <c r="P41" s="21"/>
      <c r="Q41" s="22"/>
      <c r="R41" s="23"/>
      <c r="S41" s="23"/>
      <c r="T41" s="23"/>
      <c r="U41" s="23"/>
      <c r="V41" s="23"/>
      <c r="W41" s="23"/>
      <c r="X41" s="23"/>
    </row>
    <row r="42" spans="1:26" s="2" customFormat="1" ht="13.5" customHeight="1" thickBot="1" x14ac:dyDescent="0.35">
      <c r="A42" s="360"/>
      <c r="B42" s="360"/>
      <c r="C42" s="28"/>
      <c r="D42" s="1"/>
      <c r="E42" s="1"/>
      <c r="F42" s="1"/>
      <c r="G42" s="1"/>
      <c r="H42" s="1"/>
      <c r="I42" s="1"/>
      <c r="J42" s="1"/>
      <c r="K42" s="1"/>
      <c r="L42" s="1"/>
      <c r="M42" s="1"/>
      <c r="N42" s="1"/>
    </row>
    <row r="43" spans="1:26" ht="20.25" customHeight="1" thickBot="1" x14ac:dyDescent="0.3">
      <c r="A43" s="361" t="s">
        <v>30</v>
      </c>
      <c r="B43" s="361"/>
      <c r="C43" s="39"/>
      <c r="D43" s="365" t="s">
        <v>17</v>
      </c>
      <c r="E43" s="366"/>
      <c r="F43" s="366"/>
      <c r="G43" s="366"/>
      <c r="H43" s="366"/>
      <c r="I43" s="366"/>
      <c r="J43" s="366"/>
      <c r="K43" s="366"/>
      <c r="L43" s="366"/>
      <c r="M43" s="366"/>
      <c r="N43" s="367"/>
      <c r="P43" s="365" t="s">
        <v>18</v>
      </c>
      <c r="Q43" s="366"/>
      <c r="R43" s="366"/>
      <c r="S43" s="366"/>
      <c r="T43" s="366"/>
      <c r="U43" s="366"/>
      <c r="V43" s="366"/>
      <c r="W43" s="366"/>
      <c r="X43" s="366"/>
      <c r="Y43" s="366"/>
      <c r="Z43" s="367"/>
    </row>
    <row r="44" spans="1:26" ht="13.5" customHeight="1" thickBot="1" x14ac:dyDescent="0.3">
      <c r="A44" s="47" t="s">
        <v>19</v>
      </c>
      <c r="B44" s="53">
        <f>'W-BT Mielies '!F25</f>
        <v>19502.747550469547</v>
      </c>
      <c r="C44" s="40"/>
      <c r="D44" s="3"/>
      <c r="E44" s="4"/>
      <c r="F44" s="58"/>
      <c r="G44" s="5"/>
      <c r="H44" s="58"/>
      <c r="I44" s="58"/>
      <c r="J44" s="58" t="s">
        <v>20</v>
      </c>
      <c r="K44" s="59"/>
      <c r="L44" s="58"/>
      <c r="M44" s="59"/>
      <c r="N44" s="58"/>
      <c r="P44" s="3"/>
      <c r="Q44" s="4"/>
      <c r="R44" s="58"/>
      <c r="S44" s="5"/>
      <c r="T44" s="58"/>
      <c r="U44" s="58"/>
      <c r="V44" s="58" t="s">
        <v>20</v>
      </c>
      <c r="W44" s="59"/>
      <c r="X44" s="58"/>
      <c r="Y44" s="59"/>
      <c r="Z44" s="58"/>
    </row>
    <row r="45" spans="1:26" ht="13.5" customHeight="1" thickBot="1" x14ac:dyDescent="0.3">
      <c r="A45" s="47" t="s">
        <v>21</v>
      </c>
      <c r="B45" s="54">
        <f>'W-BT Mielies '!F27</f>
        <v>7658.1599999999989</v>
      </c>
      <c r="C45" s="40"/>
      <c r="D45" s="365" t="s">
        <v>22</v>
      </c>
      <c r="E45" s="367"/>
      <c r="F45" s="6">
        <f>G45-250</f>
        <v>3312</v>
      </c>
      <c r="G45" s="6">
        <f>H45-250</f>
        <v>3562</v>
      </c>
      <c r="H45" s="6">
        <f>I45-250</f>
        <v>3812</v>
      </c>
      <c r="I45" s="6">
        <f>J45-250</f>
        <v>4062</v>
      </c>
      <c r="J45" s="58">
        <f>B50</f>
        <v>4312</v>
      </c>
      <c r="K45" s="6">
        <f>J45+250</f>
        <v>4562</v>
      </c>
      <c r="L45" s="6">
        <f>K45+250</f>
        <v>4812</v>
      </c>
      <c r="M45" s="6">
        <f>L45+250</f>
        <v>5062</v>
      </c>
      <c r="N45" s="6">
        <f>M45+250</f>
        <v>5312</v>
      </c>
      <c r="P45" s="365" t="s">
        <v>22</v>
      </c>
      <c r="Q45" s="367"/>
      <c r="R45" s="6">
        <f>S45-250</f>
        <v>3312</v>
      </c>
      <c r="S45" s="6">
        <f>T45-250</f>
        <v>3562</v>
      </c>
      <c r="T45" s="6">
        <f>U45-250</f>
        <v>3812</v>
      </c>
      <c r="U45" s="6">
        <f>V45-250</f>
        <v>4062</v>
      </c>
      <c r="V45" s="58">
        <f>J45</f>
        <v>4312</v>
      </c>
      <c r="W45" s="6">
        <f>V45+250</f>
        <v>4562</v>
      </c>
      <c r="X45" s="6">
        <f>W45+250</f>
        <v>4812</v>
      </c>
      <c r="Y45" s="6">
        <f>X45+250</f>
        <v>5062</v>
      </c>
      <c r="Z45" s="6">
        <f>Y45+250</f>
        <v>5312</v>
      </c>
    </row>
    <row r="46" spans="1:26" ht="13.5" customHeight="1" thickBot="1" x14ac:dyDescent="0.3">
      <c r="A46" s="48" t="s">
        <v>23</v>
      </c>
      <c r="B46" s="55">
        <f>B45+B44</f>
        <v>27160.907550469547</v>
      </c>
      <c r="C46" s="41"/>
      <c r="D46" s="368" t="s">
        <v>24</v>
      </c>
      <c r="E46" s="369"/>
      <c r="F46" s="6">
        <f t="shared" ref="F46:N46" si="8">F45-$B$51</f>
        <v>2903.84</v>
      </c>
      <c r="G46" s="6">
        <f t="shared" si="8"/>
        <v>3153.84</v>
      </c>
      <c r="H46" s="6">
        <f t="shared" si="8"/>
        <v>3403.84</v>
      </c>
      <c r="I46" s="6">
        <f t="shared" si="8"/>
        <v>3653.84</v>
      </c>
      <c r="J46" s="58">
        <f t="shared" si="8"/>
        <v>3903.84</v>
      </c>
      <c r="K46" s="6">
        <f t="shared" si="8"/>
        <v>4153.84</v>
      </c>
      <c r="L46" s="6">
        <f t="shared" si="8"/>
        <v>4403.84</v>
      </c>
      <c r="M46" s="6">
        <f t="shared" si="8"/>
        <v>4653.84</v>
      </c>
      <c r="N46" s="6">
        <f t="shared" si="8"/>
        <v>4903.84</v>
      </c>
      <c r="P46" s="368" t="s">
        <v>24</v>
      </c>
      <c r="Q46" s="369"/>
      <c r="R46" s="6">
        <f t="shared" ref="R46:Z46" si="9">R45-$B$51</f>
        <v>2903.84</v>
      </c>
      <c r="S46" s="6">
        <f t="shared" si="9"/>
        <v>3153.84</v>
      </c>
      <c r="T46" s="6">
        <f t="shared" si="9"/>
        <v>3403.84</v>
      </c>
      <c r="U46" s="6">
        <f t="shared" si="9"/>
        <v>3653.84</v>
      </c>
      <c r="V46" s="58">
        <f t="shared" si="9"/>
        <v>3903.84</v>
      </c>
      <c r="W46" s="6">
        <f t="shared" si="9"/>
        <v>4153.84</v>
      </c>
      <c r="X46" s="6">
        <f t="shared" si="9"/>
        <v>4403.84</v>
      </c>
      <c r="Y46" s="6">
        <f t="shared" si="9"/>
        <v>4653.84</v>
      </c>
      <c r="Z46" s="6">
        <f t="shared" si="9"/>
        <v>4903.84</v>
      </c>
    </row>
    <row r="47" spans="1:26" ht="13.5" customHeight="1" thickBot="1" x14ac:dyDescent="0.3">
      <c r="A47" s="47"/>
      <c r="B47" s="40"/>
      <c r="C47" s="40"/>
      <c r="D47" s="362" t="s">
        <v>25</v>
      </c>
      <c r="E47" s="8">
        <f>E48-0.5</f>
        <v>3.5</v>
      </c>
      <c r="F47" s="9">
        <f t="shared" ref="F47:N51" si="10">F$33-($B$46/$E47)</f>
        <v>-4856.4193001341564</v>
      </c>
      <c r="G47" s="9">
        <f t="shared" si="10"/>
        <v>-4606.4193001341564</v>
      </c>
      <c r="H47" s="9">
        <f t="shared" si="10"/>
        <v>-4356.4193001341564</v>
      </c>
      <c r="I47" s="9">
        <f t="shared" si="10"/>
        <v>-4106.4193001341564</v>
      </c>
      <c r="J47" s="9">
        <f t="shared" si="10"/>
        <v>-3856.4193001341564</v>
      </c>
      <c r="K47" s="9">
        <f t="shared" si="10"/>
        <v>-3606.4193001341564</v>
      </c>
      <c r="L47" s="9">
        <f t="shared" si="10"/>
        <v>-3356.4193001341564</v>
      </c>
      <c r="M47" s="9">
        <f t="shared" si="10"/>
        <v>-3106.4193001341564</v>
      </c>
      <c r="N47" s="9">
        <f t="shared" si="10"/>
        <v>-2856.4193001341564</v>
      </c>
      <c r="P47" s="362" t="s">
        <v>25</v>
      </c>
      <c r="Q47" s="8">
        <f>Q48-0.5</f>
        <v>3.5</v>
      </c>
      <c r="R47" s="9">
        <f>R$33-($B$44/$E47)</f>
        <v>-2668.3735858484415</v>
      </c>
      <c r="S47" s="9">
        <f t="shared" ref="S47:Z47" si="11">S$33-($B$44/$E47)</f>
        <v>-2418.3735858484415</v>
      </c>
      <c r="T47" s="9">
        <f t="shared" si="11"/>
        <v>-2168.3735858484415</v>
      </c>
      <c r="U47" s="9">
        <f t="shared" si="11"/>
        <v>-1918.3735858484415</v>
      </c>
      <c r="V47" s="9">
        <f t="shared" si="11"/>
        <v>-1668.3735858484415</v>
      </c>
      <c r="W47" s="9">
        <f t="shared" si="11"/>
        <v>-1418.3735858484415</v>
      </c>
      <c r="X47" s="9">
        <f t="shared" si="11"/>
        <v>-1168.3735858484415</v>
      </c>
      <c r="Y47" s="9">
        <f t="shared" si="11"/>
        <v>-918.37358584844151</v>
      </c>
      <c r="Z47" s="9">
        <f t="shared" si="11"/>
        <v>-668.37358584844151</v>
      </c>
    </row>
    <row r="48" spans="1:26" ht="13.5" customHeight="1" thickBot="1" x14ac:dyDescent="0.3">
      <c r="A48" s="47" t="s">
        <v>26</v>
      </c>
      <c r="B48" s="63">
        <f>'W-BT Mielies '!F5</f>
        <v>4.5</v>
      </c>
      <c r="C48" s="40"/>
      <c r="D48" s="363"/>
      <c r="E48" s="8">
        <f>E49-0.5</f>
        <v>4</v>
      </c>
      <c r="F48" s="9">
        <f t="shared" si="10"/>
        <v>-3886.3868876173865</v>
      </c>
      <c r="G48" s="9">
        <f t="shared" si="10"/>
        <v>-3636.3868876173865</v>
      </c>
      <c r="H48" s="9">
        <f t="shared" si="10"/>
        <v>-3386.3868876173865</v>
      </c>
      <c r="I48" s="9">
        <f t="shared" si="10"/>
        <v>-3136.3868876173865</v>
      </c>
      <c r="J48" s="9">
        <f t="shared" si="10"/>
        <v>-2886.3868876173865</v>
      </c>
      <c r="K48" s="9">
        <f t="shared" si="10"/>
        <v>-2636.3868876173865</v>
      </c>
      <c r="L48" s="9">
        <f t="shared" si="10"/>
        <v>-2386.3868876173865</v>
      </c>
      <c r="M48" s="9">
        <f t="shared" si="10"/>
        <v>-2136.3868876173865</v>
      </c>
      <c r="N48" s="9">
        <f t="shared" si="10"/>
        <v>-1886.3868876173865</v>
      </c>
      <c r="P48" s="363"/>
      <c r="Q48" s="8">
        <f>Q49-0.5</f>
        <v>4</v>
      </c>
      <c r="R48" s="9">
        <f t="shared" ref="R48:Z51" si="12">R$33-($B$44/$E48)</f>
        <v>-1971.8468876173865</v>
      </c>
      <c r="S48" s="9">
        <f t="shared" si="12"/>
        <v>-1721.8468876173865</v>
      </c>
      <c r="T48" s="9">
        <f t="shared" si="12"/>
        <v>-1471.8468876173865</v>
      </c>
      <c r="U48" s="9">
        <f t="shared" si="12"/>
        <v>-1221.8468876173865</v>
      </c>
      <c r="V48" s="9">
        <f t="shared" si="12"/>
        <v>-971.84688761738653</v>
      </c>
      <c r="W48" s="9">
        <f t="shared" si="12"/>
        <v>-721.84688761738653</v>
      </c>
      <c r="X48" s="9">
        <f t="shared" si="12"/>
        <v>-471.84688761738653</v>
      </c>
      <c r="Y48" s="9">
        <f t="shared" si="12"/>
        <v>-221.84688761738653</v>
      </c>
      <c r="Z48" s="9">
        <f t="shared" si="12"/>
        <v>28.153112382613472</v>
      </c>
    </row>
    <row r="49" spans="1:26" ht="13.5" customHeight="1" thickBot="1" x14ac:dyDescent="0.3">
      <c r="A49" s="47"/>
      <c r="B49" s="40"/>
      <c r="C49" s="40"/>
      <c r="D49" s="363"/>
      <c r="E49" s="64">
        <f>B48</f>
        <v>4.5</v>
      </c>
      <c r="F49" s="9">
        <f t="shared" si="10"/>
        <v>-3131.9172334376772</v>
      </c>
      <c r="G49" s="9">
        <f t="shared" si="10"/>
        <v>-2881.9172334376772</v>
      </c>
      <c r="H49" s="9">
        <f t="shared" si="10"/>
        <v>-2631.9172334376772</v>
      </c>
      <c r="I49" s="9">
        <f>I$33-($B$46/$E49)</f>
        <v>-2381.9172334376772</v>
      </c>
      <c r="J49" s="9">
        <f>J$33-($B$46/$E49)</f>
        <v>-2131.9172334376772</v>
      </c>
      <c r="K49" s="9">
        <f t="shared" si="10"/>
        <v>-1881.9172334376772</v>
      </c>
      <c r="L49" s="9">
        <f t="shared" si="10"/>
        <v>-1631.9172334376772</v>
      </c>
      <c r="M49" s="9">
        <f t="shared" si="10"/>
        <v>-1381.9172334376772</v>
      </c>
      <c r="N49" s="9">
        <f t="shared" si="10"/>
        <v>-1131.9172334376772</v>
      </c>
      <c r="P49" s="363"/>
      <c r="Q49" s="64">
        <f>E49</f>
        <v>4.5</v>
      </c>
      <c r="R49" s="9">
        <f t="shared" si="12"/>
        <v>-1430.1039001043437</v>
      </c>
      <c r="S49" s="9">
        <f t="shared" si="12"/>
        <v>-1180.1039001043437</v>
      </c>
      <c r="T49" s="9">
        <f t="shared" si="12"/>
        <v>-930.10390010434367</v>
      </c>
      <c r="U49" s="9">
        <f t="shared" si="12"/>
        <v>-680.10390010434367</v>
      </c>
      <c r="V49" s="9">
        <f t="shared" si="12"/>
        <v>-430.10390010434367</v>
      </c>
      <c r="W49" s="9">
        <f t="shared" si="12"/>
        <v>-180.10390010434367</v>
      </c>
      <c r="X49" s="9">
        <f t="shared" si="12"/>
        <v>69.896099895656334</v>
      </c>
      <c r="Y49" s="9">
        <f t="shared" si="12"/>
        <v>319.89609989565633</v>
      </c>
      <c r="Z49" s="9">
        <f t="shared" si="12"/>
        <v>569.89609989565633</v>
      </c>
    </row>
    <row r="50" spans="1:26" ht="13.5" customHeight="1" thickBot="1" x14ac:dyDescent="0.3">
      <c r="A50" s="47" t="s">
        <v>174</v>
      </c>
      <c r="B50" s="53">
        <f>B4</f>
        <v>4312</v>
      </c>
      <c r="C50" s="40"/>
      <c r="D50" s="363"/>
      <c r="E50" s="8">
        <f>E49+0.5</f>
        <v>5</v>
      </c>
      <c r="F50" s="9">
        <f t="shared" si="10"/>
        <v>-2528.3415100939092</v>
      </c>
      <c r="G50" s="9">
        <f t="shared" si="10"/>
        <v>-2278.3415100939092</v>
      </c>
      <c r="H50" s="9">
        <f t="shared" si="10"/>
        <v>-2028.3415100939092</v>
      </c>
      <c r="I50" s="9">
        <f t="shared" si="10"/>
        <v>-1778.3415100939092</v>
      </c>
      <c r="J50" s="9">
        <f t="shared" si="10"/>
        <v>-1528.3415100939092</v>
      </c>
      <c r="K50" s="9">
        <f t="shared" si="10"/>
        <v>-1278.3415100939092</v>
      </c>
      <c r="L50" s="9">
        <f t="shared" si="10"/>
        <v>-1028.3415100939092</v>
      </c>
      <c r="M50" s="9">
        <f t="shared" si="10"/>
        <v>-778.34151009390916</v>
      </c>
      <c r="N50" s="9">
        <f t="shared" si="10"/>
        <v>-528.34151009390916</v>
      </c>
      <c r="P50" s="363"/>
      <c r="Q50" s="8">
        <f>Q49+0.5</f>
        <v>5</v>
      </c>
      <c r="R50" s="9">
        <f t="shared" si="12"/>
        <v>-996.7095100939091</v>
      </c>
      <c r="S50" s="9">
        <f t="shared" si="12"/>
        <v>-746.7095100939091</v>
      </c>
      <c r="T50" s="9">
        <f t="shared" si="12"/>
        <v>-496.7095100939091</v>
      </c>
      <c r="U50" s="9">
        <f t="shared" si="12"/>
        <v>-246.7095100939091</v>
      </c>
      <c r="V50" s="9">
        <f t="shared" si="12"/>
        <v>3.2904899060908974</v>
      </c>
      <c r="W50" s="9">
        <f t="shared" si="12"/>
        <v>253.2904899060909</v>
      </c>
      <c r="X50" s="9">
        <f t="shared" si="12"/>
        <v>503.2904899060909</v>
      </c>
      <c r="Y50" s="9">
        <f t="shared" si="12"/>
        <v>753.2904899060909</v>
      </c>
      <c r="Z50" s="9">
        <f t="shared" si="12"/>
        <v>1003.2904899060909</v>
      </c>
    </row>
    <row r="51" spans="1:26" ht="13.5" customHeight="1" thickBot="1" x14ac:dyDescent="0.3">
      <c r="A51" s="49" t="s">
        <v>27</v>
      </c>
      <c r="B51" s="54">
        <f>D4</f>
        <v>408.16</v>
      </c>
      <c r="C51" s="40"/>
      <c r="D51" s="364"/>
      <c r="E51" s="8">
        <f>E50+0.5</f>
        <v>5.5</v>
      </c>
      <c r="F51" s="9">
        <f>F$33-($B$46/$E51)</f>
        <v>-2034.5068273580991</v>
      </c>
      <c r="G51" s="9">
        <f t="shared" si="10"/>
        <v>-1784.5068273580991</v>
      </c>
      <c r="H51" s="9">
        <f t="shared" si="10"/>
        <v>-1534.5068273580991</v>
      </c>
      <c r="I51" s="9">
        <f t="shared" si="10"/>
        <v>-1284.5068273580991</v>
      </c>
      <c r="J51" s="9">
        <f t="shared" si="10"/>
        <v>-1034.5068273580991</v>
      </c>
      <c r="K51" s="9">
        <f t="shared" si="10"/>
        <v>-784.50682735809914</v>
      </c>
      <c r="L51" s="9">
        <f t="shared" si="10"/>
        <v>-534.50682735809914</v>
      </c>
      <c r="M51" s="9">
        <f t="shared" si="10"/>
        <v>-284.50682735809914</v>
      </c>
      <c r="N51" s="9">
        <f>N$33-($B$46/$E51)</f>
        <v>-34.506827358099144</v>
      </c>
      <c r="P51" s="364"/>
      <c r="Q51" s="8">
        <f>Q50+0.5</f>
        <v>5.5</v>
      </c>
      <c r="R51" s="9">
        <f t="shared" si="12"/>
        <v>-642.11410008537177</v>
      </c>
      <c r="S51" s="9">
        <f t="shared" si="12"/>
        <v>-392.11410008537177</v>
      </c>
      <c r="T51" s="9">
        <f t="shared" si="12"/>
        <v>-142.11410008537177</v>
      </c>
      <c r="U51" s="9">
        <f t="shared" si="12"/>
        <v>107.88589991462823</v>
      </c>
      <c r="V51" s="9">
        <f t="shared" si="12"/>
        <v>357.88589991462823</v>
      </c>
      <c r="W51" s="9">
        <f t="shared" si="12"/>
        <v>607.88589991462823</v>
      </c>
      <c r="X51" s="9">
        <f t="shared" si="12"/>
        <v>857.88589991462823</v>
      </c>
      <c r="Y51" s="9">
        <f t="shared" si="12"/>
        <v>1107.8858999146282</v>
      </c>
      <c r="Z51" s="9">
        <f t="shared" si="12"/>
        <v>1357.8858999146282</v>
      </c>
    </row>
    <row r="52" spans="1:26" ht="13.5" customHeight="1" x14ac:dyDescent="0.25">
      <c r="A52" s="42" t="s">
        <v>28</v>
      </c>
      <c r="B52" s="55">
        <f>B50-B51</f>
        <v>3903.84</v>
      </c>
      <c r="C52" s="40"/>
      <c r="D52" s="21"/>
      <c r="E52" s="22"/>
      <c r="F52" s="23"/>
      <c r="G52" s="23"/>
      <c r="H52" s="23"/>
      <c r="I52" s="23"/>
      <c r="J52" s="23"/>
      <c r="K52" s="23"/>
      <c r="L52" s="23"/>
      <c r="P52" s="21"/>
      <c r="Q52" s="22"/>
      <c r="R52" s="23"/>
      <c r="S52" s="23"/>
      <c r="T52" s="23"/>
      <c r="U52" s="23"/>
      <c r="V52" s="23"/>
      <c r="W52" s="23"/>
      <c r="X52" s="23"/>
    </row>
    <row r="53" spans="1:26" ht="13.5" customHeight="1" x14ac:dyDescent="0.25">
      <c r="A53" s="42"/>
      <c r="B53" s="41"/>
      <c r="C53" s="40"/>
      <c r="D53" s="21"/>
      <c r="E53" s="22"/>
      <c r="F53" s="23"/>
      <c r="G53" s="23"/>
      <c r="H53" s="23"/>
      <c r="I53" s="23"/>
      <c r="J53" s="23"/>
      <c r="K53" s="23"/>
      <c r="L53" s="23"/>
      <c r="P53" s="21"/>
      <c r="Q53" s="22"/>
      <c r="R53" s="23"/>
      <c r="S53" s="23"/>
      <c r="T53" s="23"/>
      <c r="U53" s="23"/>
      <c r="V53" s="23"/>
      <c r="W53" s="23"/>
      <c r="X53" s="23"/>
    </row>
    <row r="54" spans="1:26" ht="13.5" customHeight="1" x14ac:dyDescent="0.25">
      <c r="A54" s="42"/>
      <c r="B54" s="41"/>
      <c r="C54" s="40"/>
      <c r="D54" s="21"/>
      <c r="E54" s="22"/>
      <c r="F54" s="23"/>
      <c r="G54" s="23"/>
      <c r="H54" s="23"/>
      <c r="I54" s="23"/>
      <c r="J54" s="23"/>
      <c r="K54" s="23"/>
      <c r="L54" s="23"/>
      <c r="P54" s="21"/>
      <c r="Q54" s="22"/>
      <c r="R54" s="23"/>
      <c r="S54" s="23"/>
      <c r="T54" s="23"/>
      <c r="U54" s="23"/>
      <c r="V54" s="23"/>
      <c r="W54" s="23"/>
      <c r="X54" s="23"/>
    </row>
    <row r="55" spans="1:26" ht="13.5" customHeight="1" x14ac:dyDescent="0.25">
      <c r="A55" s="42"/>
      <c r="B55" s="41"/>
      <c r="C55" s="40"/>
      <c r="D55" s="21"/>
      <c r="E55" s="22"/>
      <c r="F55" s="23"/>
      <c r="G55" s="23"/>
      <c r="H55" s="23"/>
      <c r="I55" s="23"/>
      <c r="J55" s="23"/>
      <c r="K55" s="23"/>
      <c r="L55" s="23"/>
      <c r="P55" s="21"/>
      <c r="Q55" s="22"/>
      <c r="R55" s="23"/>
      <c r="S55" s="23"/>
      <c r="T55" s="23"/>
      <c r="U55" s="23"/>
      <c r="V55" s="23"/>
      <c r="W55" s="23"/>
      <c r="X55" s="23"/>
    </row>
    <row r="56" spans="1:26" ht="13.5" customHeight="1" thickBot="1" x14ac:dyDescent="0.3">
      <c r="A56" s="360"/>
      <c r="B56" s="360"/>
      <c r="D56" s="21"/>
      <c r="E56" s="22"/>
      <c r="F56" s="23"/>
      <c r="G56" s="23"/>
      <c r="H56" s="23"/>
      <c r="I56" s="23"/>
      <c r="J56" s="23"/>
      <c r="K56" s="23"/>
      <c r="L56" s="23"/>
      <c r="P56" s="21"/>
      <c r="Q56" s="22"/>
      <c r="R56" s="23"/>
      <c r="S56" s="23"/>
      <c r="T56" s="23"/>
      <c r="U56" s="23"/>
      <c r="V56" s="23"/>
      <c r="W56" s="23"/>
      <c r="X56" s="23"/>
    </row>
    <row r="57" spans="1:26" ht="18.75" customHeight="1" thickBot="1" x14ac:dyDescent="0.3">
      <c r="A57" s="361" t="s">
        <v>31</v>
      </c>
      <c r="B57" s="361"/>
      <c r="C57" s="39"/>
      <c r="D57" s="365" t="s">
        <v>32</v>
      </c>
      <c r="E57" s="366"/>
      <c r="F57" s="366"/>
      <c r="G57" s="366"/>
      <c r="H57" s="366"/>
      <c r="I57" s="366"/>
      <c r="J57" s="366"/>
      <c r="K57" s="366"/>
      <c r="L57" s="366"/>
      <c r="M57" s="366"/>
      <c r="N57" s="367"/>
      <c r="P57" s="365" t="s">
        <v>33</v>
      </c>
      <c r="Q57" s="366"/>
      <c r="R57" s="366"/>
      <c r="S57" s="366"/>
      <c r="T57" s="366"/>
      <c r="U57" s="366"/>
      <c r="V57" s="366"/>
      <c r="W57" s="366"/>
      <c r="X57" s="366"/>
      <c r="Y57" s="366"/>
      <c r="Z57" s="367"/>
    </row>
    <row r="58" spans="1:26" ht="13.5" customHeight="1" thickBot="1" x14ac:dyDescent="0.3">
      <c r="A58" s="47" t="s">
        <v>19</v>
      </c>
      <c r="B58" s="53">
        <f>Sonneblom!F25</f>
        <v>11357.352290803281</v>
      </c>
      <c r="C58" s="40"/>
      <c r="D58" s="3"/>
      <c r="E58" s="4"/>
      <c r="F58" s="58"/>
      <c r="G58" s="5"/>
      <c r="H58" s="58"/>
      <c r="I58" s="58"/>
      <c r="J58" s="58" t="s">
        <v>20</v>
      </c>
      <c r="K58" s="59"/>
      <c r="L58" s="58"/>
      <c r="M58" s="59"/>
      <c r="N58" s="58"/>
      <c r="P58" s="3"/>
      <c r="Q58" s="4"/>
      <c r="R58" s="58"/>
      <c r="S58" s="5"/>
      <c r="T58" s="58"/>
      <c r="U58" s="58"/>
      <c r="V58" s="58" t="s">
        <v>20</v>
      </c>
      <c r="W58" s="59"/>
      <c r="X58" s="58"/>
      <c r="Y58" s="59"/>
      <c r="Z58" s="58"/>
    </row>
    <row r="59" spans="1:26" ht="13.5" customHeight="1" thickBot="1" x14ac:dyDescent="0.3">
      <c r="A59" s="47" t="s">
        <v>21</v>
      </c>
      <c r="B59" s="54">
        <f>Sonneblom!F27</f>
        <v>6336.2800000000007</v>
      </c>
      <c r="C59" s="40"/>
      <c r="D59" s="365" t="s">
        <v>22</v>
      </c>
      <c r="E59" s="367"/>
      <c r="F59" s="24">
        <f>G59-200</f>
        <v>9200</v>
      </c>
      <c r="G59" s="24">
        <f>H59-200</f>
        <v>9400</v>
      </c>
      <c r="H59" s="24">
        <f>I59-200</f>
        <v>9600</v>
      </c>
      <c r="I59" s="25">
        <f>J59-200</f>
        <v>9800</v>
      </c>
      <c r="J59" s="65">
        <f>B64</f>
        <v>10000</v>
      </c>
      <c r="K59" s="25">
        <f>J59+200</f>
        <v>10200</v>
      </c>
      <c r="L59" s="25">
        <f>K59+200</f>
        <v>10400</v>
      </c>
      <c r="M59" s="25">
        <f>L59+200</f>
        <v>10600</v>
      </c>
      <c r="N59" s="25">
        <f>M59+200</f>
        <v>10800</v>
      </c>
      <c r="P59" s="365" t="s">
        <v>22</v>
      </c>
      <c r="Q59" s="367"/>
      <c r="R59" s="24">
        <f>S59-200</f>
        <v>9200</v>
      </c>
      <c r="S59" s="24">
        <f>T59-200</f>
        <v>9400</v>
      </c>
      <c r="T59" s="24">
        <f>U59-200</f>
        <v>9600</v>
      </c>
      <c r="U59" s="25">
        <f>V59-200</f>
        <v>9800</v>
      </c>
      <c r="V59" s="65">
        <f>J59</f>
        <v>10000</v>
      </c>
      <c r="W59" s="25">
        <f>V59+200</f>
        <v>10200</v>
      </c>
      <c r="X59" s="25">
        <f>W59+200</f>
        <v>10400</v>
      </c>
      <c r="Y59" s="25">
        <f>X59+200</f>
        <v>10600</v>
      </c>
      <c r="Z59" s="25">
        <f>Y59+200</f>
        <v>10800</v>
      </c>
    </row>
    <row r="60" spans="1:26" ht="13.5" customHeight="1" thickBot="1" x14ac:dyDescent="0.3">
      <c r="A60" s="48" t="s">
        <v>23</v>
      </c>
      <c r="B60" s="55">
        <f>B59+B58</f>
        <v>17693.632290803282</v>
      </c>
      <c r="C60" s="41"/>
      <c r="D60" s="368" t="s">
        <v>24</v>
      </c>
      <c r="E60" s="369"/>
      <c r="F60" s="26">
        <f t="shared" ref="F60:N60" si="13">F59-$B$65</f>
        <v>8726.73</v>
      </c>
      <c r="G60" s="26">
        <f t="shared" si="13"/>
        <v>8926.73</v>
      </c>
      <c r="H60" s="26">
        <f t="shared" si="13"/>
        <v>9126.73</v>
      </c>
      <c r="I60" s="26">
        <f t="shared" si="13"/>
        <v>9326.73</v>
      </c>
      <c r="J60" s="66">
        <f t="shared" si="13"/>
        <v>9526.73</v>
      </c>
      <c r="K60" s="26">
        <f t="shared" si="13"/>
        <v>9726.73</v>
      </c>
      <c r="L60" s="26">
        <f t="shared" si="13"/>
        <v>9926.73</v>
      </c>
      <c r="M60" s="26">
        <f t="shared" si="13"/>
        <v>10126.73</v>
      </c>
      <c r="N60" s="26">
        <f t="shared" si="13"/>
        <v>10326.73</v>
      </c>
      <c r="P60" s="368" t="s">
        <v>24</v>
      </c>
      <c r="Q60" s="369"/>
      <c r="R60" s="26">
        <f t="shared" ref="R60:Z60" si="14">R59-$B$65</f>
        <v>8726.73</v>
      </c>
      <c r="S60" s="26">
        <f t="shared" si="14"/>
        <v>8926.73</v>
      </c>
      <c r="T60" s="26">
        <f t="shared" si="14"/>
        <v>9126.73</v>
      </c>
      <c r="U60" s="26">
        <f t="shared" si="14"/>
        <v>9326.73</v>
      </c>
      <c r="V60" s="66">
        <f t="shared" si="14"/>
        <v>9526.73</v>
      </c>
      <c r="W60" s="26">
        <f t="shared" si="14"/>
        <v>9726.73</v>
      </c>
      <c r="X60" s="26">
        <f t="shared" si="14"/>
        <v>9926.73</v>
      </c>
      <c r="Y60" s="26">
        <f t="shared" si="14"/>
        <v>10126.73</v>
      </c>
      <c r="Z60" s="26">
        <f t="shared" si="14"/>
        <v>10326.73</v>
      </c>
    </row>
    <row r="61" spans="1:26" ht="13.5" customHeight="1" thickBot="1" x14ac:dyDescent="0.3">
      <c r="A61" s="47"/>
      <c r="B61" s="40"/>
      <c r="C61" s="40"/>
      <c r="D61" s="362" t="s">
        <v>25</v>
      </c>
      <c r="E61" s="8">
        <f>E62-0.25</f>
        <v>1</v>
      </c>
      <c r="F61" s="9">
        <f t="shared" ref="F61:N65" si="15">F$60-($B$60/$E61)</f>
        <v>-8966.9022908032821</v>
      </c>
      <c r="G61" s="9">
        <f t="shared" si="15"/>
        <v>-8766.9022908032821</v>
      </c>
      <c r="H61" s="9">
        <f t="shared" si="15"/>
        <v>-8566.9022908032821</v>
      </c>
      <c r="I61" s="9">
        <f t="shared" si="15"/>
        <v>-8366.9022908032821</v>
      </c>
      <c r="J61" s="9">
        <f t="shared" si="15"/>
        <v>-8166.9022908032821</v>
      </c>
      <c r="K61" s="9">
        <f t="shared" si="15"/>
        <v>-7966.9022908032821</v>
      </c>
      <c r="L61" s="9">
        <f t="shared" si="15"/>
        <v>-7766.9022908032821</v>
      </c>
      <c r="M61" s="9">
        <f t="shared" si="15"/>
        <v>-7566.9022908032821</v>
      </c>
      <c r="N61" s="9">
        <f t="shared" si="15"/>
        <v>-7366.9022908032821</v>
      </c>
      <c r="P61" s="362" t="s">
        <v>25</v>
      </c>
      <c r="Q61" s="8">
        <f>Q62-0.25</f>
        <v>1</v>
      </c>
      <c r="R61" s="9">
        <f t="shared" ref="R61:Z65" si="16">R$60-($B$58/$E61)</f>
        <v>-2630.6222908032814</v>
      </c>
      <c r="S61" s="9">
        <f t="shared" si="16"/>
        <v>-2430.6222908032814</v>
      </c>
      <c r="T61" s="9">
        <f t="shared" si="16"/>
        <v>-2230.6222908032814</v>
      </c>
      <c r="U61" s="9">
        <f t="shared" si="16"/>
        <v>-2030.6222908032814</v>
      </c>
      <c r="V61" s="9">
        <f t="shared" si="16"/>
        <v>-1830.6222908032814</v>
      </c>
      <c r="W61" s="9">
        <f t="shared" si="16"/>
        <v>-1630.6222908032814</v>
      </c>
      <c r="X61" s="9">
        <f t="shared" si="16"/>
        <v>-1430.6222908032814</v>
      </c>
      <c r="Y61" s="9">
        <f t="shared" si="16"/>
        <v>-1230.6222908032814</v>
      </c>
      <c r="Z61" s="9">
        <f t="shared" si="16"/>
        <v>-1030.6222908032814</v>
      </c>
    </row>
    <row r="62" spans="1:26" ht="13.5" customHeight="1" thickBot="1" x14ac:dyDescent="0.3">
      <c r="A62" s="47" t="s">
        <v>26</v>
      </c>
      <c r="B62" s="63">
        <v>1.5</v>
      </c>
      <c r="C62" s="40"/>
      <c r="D62" s="363"/>
      <c r="E62" s="8">
        <f>E63-0.25</f>
        <v>1.25</v>
      </c>
      <c r="F62" s="9">
        <f t="shared" si="15"/>
        <v>-5428.1758326426261</v>
      </c>
      <c r="G62" s="9">
        <f t="shared" si="15"/>
        <v>-5228.1758326426261</v>
      </c>
      <c r="H62" s="9">
        <f t="shared" si="15"/>
        <v>-5028.1758326426261</v>
      </c>
      <c r="I62" s="9">
        <f t="shared" si="15"/>
        <v>-4828.1758326426261</v>
      </c>
      <c r="J62" s="9">
        <f t="shared" si="15"/>
        <v>-4628.1758326426261</v>
      </c>
      <c r="K62" s="9">
        <f t="shared" si="15"/>
        <v>-4428.1758326426261</v>
      </c>
      <c r="L62" s="9">
        <f t="shared" si="15"/>
        <v>-4228.1758326426261</v>
      </c>
      <c r="M62" s="9">
        <f t="shared" si="15"/>
        <v>-4028.1758326426261</v>
      </c>
      <c r="N62" s="9">
        <f t="shared" si="15"/>
        <v>-3828.1758326426261</v>
      </c>
      <c r="P62" s="363"/>
      <c r="Q62" s="8">
        <f>Q63-0.25</f>
        <v>1.25</v>
      </c>
      <c r="R62" s="9">
        <f t="shared" si="16"/>
        <v>-359.15183264262487</v>
      </c>
      <c r="S62" s="9">
        <f t="shared" si="16"/>
        <v>-159.15183264262487</v>
      </c>
      <c r="T62" s="9">
        <f t="shared" si="16"/>
        <v>40.848167357375132</v>
      </c>
      <c r="U62" s="9">
        <f t="shared" si="16"/>
        <v>240.84816735737513</v>
      </c>
      <c r="V62" s="9">
        <f t="shared" si="16"/>
        <v>440.84816735737513</v>
      </c>
      <c r="W62" s="9">
        <f t="shared" si="16"/>
        <v>640.84816735737513</v>
      </c>
      <c r="X62" s="9">
        <f t="shared" si="16"/>
        <v>840.84816735737513</v>
      </c>
      <c r="Y62" s="9">
        <f t="shared" si="16"/>
        <v>1040.8481673573751</v>
      </c>
      <c r="Z62" s="9">
        <f t="shared" si="16"/>
        <v>1240.8481673573751</v>
      </c>
    </row>
    <row r="63" spans="1:26" ht="13.5" customHeight="1" thickBot="1" x14ac:dyDescent="0.3">
      <c r="A63" s="47"/>
      <c r="B63" s="40"/>
      <c r="C63" s="40"/>
      <c r="D63" s="363"/>
      <c r="E63" s="64">
        <f>B62</f>
        <v>1.5</v>
      </c>
      <c r="F63" s="9">
        <f t="shared" si="15"/>
        <v>-3069.0248605355209</v>
      </c>
      <c r="G63" s="9">
        <f t="shared" si="15"/>
        <v>-2869.0248605355209</v>
      </c>
      <c r="H63" s="9">
        <f t="shared" si="15"/>
        <v>-2669.0248605355209</v>
      </c>
      <c r="I63" s="9">
        <f t="shared" si="15"/>
        <v>-2469.0248605355209</v>
      </c>
      <c r="J63" s="57">
        <f t="shared" si="15"/>
        <v>-2269.0248605355209</v>
      </c>
      <c r="K63" s="9">
        <f t="shared" si="15"/>
        <v>-2069.0248605355209</v>
      </c>
      <c r="L63" s="9">
        <f>L$60-($B$60/$E63)</f>
        <v>-1869.0248605355209</v>
      </c>
      <c r="M63" s="9">
        <f t="shared" si="15"/>
        <v>-1669.0248605355209</v>
      </c>
      <c r="N63" s="9">
        <f t="shared" si="15"/>
        <v>-1469.0248605355209</v>
      </c>
      <c r="P63" s="363"/>
      <c r="Q63" s="64">
        <f>E63</f>
        <v>1.5</v>
      </c>
      <c r="R63" s="9">
        <f t="shared" si="16"/>
        <v>1155.1618061311456</v>
      </c>
      <c r="S63" s="9">
        <f t="shared" si="16"/>
        <v>1355.1618061311456</v>
      </c>
      <c r="T63" s="9">
        <f t="shared" si="16"/>
        <v>1555.1618061311456</v>
      </c>
      <c r="U63" s="9">
        <f t="shared" si="16"/>
        <v>1755.1618061311456</v>
      </c>
      <c r="V63" s="9">
        <f t="shared" si="16"/>
        <v>1955.1618061311456</v>
      </c>
      <c r="W63" s="9">
        <f t="shared" si="16"/>
        <v>2155.1618061311456</v>
      </c>
      <c r="X63" s="9">
        <f t="shared" si="16"/>
        <v>2355.1618061311456</v>
      </c>
      <c r="Y63" s="9">
        <f t="shared" si="16"/>
        <v>2555.1618061311456</v>
      </c>
      <c r="Z63" s="9">
        <f t="shared" si="16"/>
        <v>2755.1618061311456</v>
      </c>
    </row>
    <row r="64" spans="1:26" ht="13.5" customHeight="1" thickBot="1" x14ac:dyDescent="0.3">
      <c r="A64" s="47" t="s">
        <v>175</v>
      </c>
      <c r="B64" s="53">
        <f>B5</f>
        <v>10000</v>
      </c>
      <c r="C64" s="40"/>
      <c r="D64" s="363"/>
      <c r="E64" s="8">
        <f>E63+0.25</f>
        <v>1.75</v>
      </c>
      <c r="F64" s="9">
        <f t="shared" si="15"/>
        <v>-1383.9170233161622</v>
      </c>
      <c r="G64" s="9">
        <f t="shared" si="15"/>
        <v>-1183.9170233161622</v>
      </c>
      <c r="H64" s="9">
        <f t="shared" si="15"/>
        <v>-983.91702331616216</v>
      </c>
      <c r="I64" s="9">
        <f t="shared" si="15"/>
        <v>-783.91702331616216</v>
      </c>
      <c r="J64" s="9">
        <f t="shared" si="15"/>
        <v>-583.91702331616216</v>
      </c>
      <c r="K64" s="9">
        <f t="shared" si="15"/>
        <v>-383.91702331616216</v>
      </c>
      <c r="L64" s="9">
        <f t="shared" si="15"/>
        <v>-183.91702331616216</v>
      </c>
      <c r="M64" s="9">
        <f t="shared" si="15"/>
        <v>16.082976683837842</v>
      </c>
      <c r="N64" s="9">
        <f t="shared" si="15"/>
        <v>216.08297668383784</v>
      </c>
      <c r="P64" s="363"/>
      <c r="Q64" s="8">
        <f>Q63+0.25</f>
        <v>1.75</v>
      </c>
      <c r="R64" s="9">
        <f t="shared" si="16"/>
        <v>2236.814405255268</v>
      </c>
      <c r="S64" s="9">
        <f t="shared" si="16"/>
        <v>2436.814405255268</v>
      </c>
      <c r="T64" s="9">
        <f t="shared" si="16"/>
        <v>2636.814405255268</v>
      </c>
      <c r="U64" s="9">
        <f t="shared" si="16"/>
        <v>2836.814405255268</v>
      </c>
      <c r="V64" s="9">
        <f t="shared" si="16"/>
        <v>3036.814405255268</v>
      </c>
      <c r="W64" s="9">
        <f t="shared" si="16"/>
        <v>3236.814405255268</v>
      </c>
      <c r="X64" s="9">
        <f t="shared" si="16"/>
        <v>3436.814405255268</v>
      </c>
      <c r="Y64" s="9">
        <f t="shared" si="16"/>
        <v>3636.814405255268</v>
      </c>
      <c r="Z64" s="9">
        <f t="shared" si="16"/>
        <v>3836.814405255268</v>
      </c>
    </row>
    <row r="65" spans="1:26" ht="13.5" customHeight="1" thickBot="1" x14ac:dyDescent="0.3">
      <c r="A65" s="49" t="s">
        <v>27</v>
      </c>
      <c r="B65" s="54">
        <f>D5</f>
        <v>473.27</v>
      </c>
      <c r="C65" s="40"/>
      <c r="D65" s="364"/>
      <c r="E65" s="8">
        <f>E64+0.25</f>
        <v>2</v>
      </c>
      <c r="F65" s="9">
        <f>F$60-($B$60/$E65)</f>
        <v>-120.08614540164126</v>
      </c>
      <c r="G65" s="9">
        <f t="shared" si="15"/>
        <v>79.913854598358739</v>
      </c>
      <c r="H65" s="9">
        <f t="shared" si="15"/>
        <v>279.91385459835874</v>
      </c>
      <c r="I65" s="9">
        <f t="shared" si="15"/>
        <v>479.91385459835874</v>
      </c>
      <c r="J65" s="9">
        <f t="shared" si="15"/>
        <v>679.91385459835874</v>
      </c>
      <c r="K65" s="9">
        <f t="shared" si="15"/>
        <v>879.91385459835874</v>
      </c>
      <c r="L65" s="9">
        <f t="shared" si="15"/>
        <v>1079.9138545983587</v>
      </c>
      <c r="M65" s="9">
        <f t="shared" si="15"/>
        <v>1279.9138545983587</v>
      </c>
      <c r="N65" s="9">
        <f>N$60-($B$60/$E65)</f>
        <v>1479.9138545983587</v>
      </c>
      <c r="P65" s="364"/>
      <c r="Q65" s="8">
        <f>Q64+0.25</f>
        <v>2</v>
      </c>
      <c r="R65" s="9">
        <f>R$60-($B$58/$E65)</f>
        <v>3048.0538545983591</v>
      </c>
      <c r="S65" s="9">
        <f t="shared" si="16"/>
        <v>3248.0538545983591</v>
      </c>
      <c r="T65" s="9">
        <f t="shared" si="16"/>
        <v>3448.0538545983591</v>
      </c>
      <c r="U65" s="9">
        <f t="shared" si="16"/>
        <v>3648.0538545983591</v>
      </c>
      <c r="V65" s="9">
        <f t="shared" si="16"/>
        <v>3848.0538545983591</v>
      </c>
      <c r="W65" s="9">
        <f t="shared" si="16"/>
        <v>4048.0538545983591</v>
      </c>
      <c r="X65" s="9">
        <f t="shared" si="16"/>
        <v>4248.0538545983591</v>
      </c>
      <c r="Y65" s="9">
        <f t="shared" si="16"/>
        <v>4448.0538545983591</v>
      </c>
      <c r="Z65" s="9">
        <f t="shared" si="16"/>
        <v>4648.0538545983591</v>
      </c>
    </row>
    <row r="66" spans="1:26" ht="13.5" customHeight="1" x14ac:dyDescent="0.25">
      <c r="A66" s="42" t="s">
        <v>28</v>
      </c>
      <c r="B66" s="55">
        <f>B64-B65</f>
        <v>9526.73</v>
      </c>
      <c r="C66" s="40"/>
      <c r="D66" s="21"/>
      <c r="E66" s="22"/>
      <c r="F66" s="23"/>
      <c r="G66" s="23"/>
      <c r="H66" s="23"/>
      <c r="I66" s="23"/>
      <c r="J66" s="23"/>
      <c r="K66" s="23"/>
      <c r="L66" s="23"/>
      <c r="P66" s="21"/>
      <c r="Q66" s="22"/>
      <c r="R66" s="23"/>
      <c r="S66" s="23"/>
      <c r="T66" s="23"/>
      <c r="U66" s="23"/>
      <c r="V66" s="23"/>
      <c r="W66" s="23"/>
      <c r="X66" s="23"/>
    </row>
    <row r="67" spans="1:26" ht="13.5" customHeight="1" x14ac:dyDescent="0.25">
      <c r="A67" s="42"/>
      <c r="B67" s="41"/>
      <c r="C67" s="40"/>
      <c r="D67" s="21"/>
      <c r="E67" s="22"/>
      <c r="F67" s="23"/>
      <c r="G67" s="23"/>
      <c r="H67" s="23"/>
      <c r="I67" s="23"/>
      <c r="J67" s="23"/>
      <c r="K67" s="23"/>
      <c r="L67" s="23"/>
      <c r="P67" s="21"/>
      <c r="Q67" s="22"/>
      <c r="R67" s="23"/>
      <c r="S67" s="23"/>
      <c r="T67" s="23"/>
      <c r="U67" s="23"/>
      <c r="V67" s="23"/>
      <c r="W67" s="23"/>
      <c r="X67" s="23"/>
    </row>
    <row r="68" spans="1:26" ht="13.5" customHeight="1" x14ac:dyDescent="0.25">
      <c r="D68" s="21"/>
      <c r="E68" s="22"/>
      <c r="F68" s="23"/>
      <c r="G68" s="23"/>
      <c r="H68" s="23"/>
      <c r="I68" s="23"/>
      <c r="J68" s="23"/>
      <c r="K68" s="23"/>
      <c r="L68" s="23"/>
      <c r="P68" s="21"/>
      <c r="Q68" s="22"/>
      <c r="R68" s="23"/>
      <c r="S68" s="23"/>
      <c r="T68" s="23"/>
      <c r="U68" s="23"/>
      <c r="V68" s="23"/>
      <c r="W68" s="23"/>
      <c r="X68" s="23"/>
    </row>
    <row r="69" spans="1:26" ht="13.5" customHeight="1" thickBot="1" x14ac:dyDescent="0.3">
      <c r="A69" s="360"/>
      <c r="B69" s="360"/>
    </row>
    <row r="70" spans="1:26" ht="19.5" customHeight="1" thickBot="1" x14ac:dyDescent="0.3">
      <c r="A70" s="361" t="s">
        <v>34</v>
      </c>
      <c r="B70" s="361"/>
      <c r="C70" s="39"/>
      <c r="D70" s="365" t="s">
        <v>35</v>
      </c>
      <c r="E70" s="366"/>
      <c r="F70" s="366"/>
      <c r="G70" s="366"/>
      <c r="H70" s="366"/>
      <c r="I70" s="366"/>
      <c r="J70" s="366"/>
      <c r="K70" s="366"/>
      <c r="L70" s="366"/>
      <c r="M70" s="366"/>
      <c r="N70" s="367"/>
      <c r="P70" s="365" t="s">
        <v>36</v>
      </c>
      <c r="Q70" s="366"/>
      <c r="R70" s="366"/>
      <c r="S70" s="366"/>
      <c r="T70" s="366"/>
      <c r="U70" s="366"/>
      <c r="V70" s="366"/>
      <c r="W70" s="366"/>
      <c r="X70" s="366"/>
      <c r="Y70" s="366"/>
      <c r="Z70" s="367"/>
    </row>
    <row r="71" spans="1:26" ht="13.5" customHeight="1" thickBot="1" x14ac:dyDescent="0.3">
      <c r="A71" s="47" t="s">
        <v>19</v>
      </c>
      <c r="B71" s="53">
        <f>Sojabone!G25</f>
        <v>16159.784530374804</v>
      </c>
      <c r="C71" s="43"/>
      <c r="D71" s="3"/>
      <c r="E71" s="4"/>
      <c r="F71" s="58"/>
      <c r="G71" s="5"/>
      <c r="H71" s="58"/>
      <c r="I71" s="58"/>
      <c r="J71" s="58" t="s">
        <v>37</v>
      </c>
      <c r="K71" s="59"/>
      <c r="L71" s="58"/>
      <c r="M71" s="59"/>
      <c r="N71" s="58"/>
      <c r="P71" s="3"/>
      <c r="Q71" s="4"/>
      <c r="R71" s="58"/>
      <c r="S71" s="5"/>
      <c r="T71" s="58"/>
      <c r="U71" s="58"/>
      <c r="V71" s="58" t="s">
        <v>37</v>
      </c>
      <c r="W71" s="59"/>
      <c r="X71" s="58"/>
      <c r="Y71" s="59"/>
      <c r="Z71" s="58"/>
    </row>
    <row r="72" spans="1:26" ht="13.5" customHeight="1" thickBot="1" x14ac:dyDescent="0.3">
      <c r="A72" s="47" t="s">
        <v>21</v>
      </c>
      <c r="B72" s="54">
        <f>'Crop Comparison'!F29</f>
        <v>6784.8700000000008</v>
      </c>
      <c r="C72" s="43"/>
      <c r="D72" s="365" t="s">
        <v>22</v>
      </c>
      <c r="E72" s="367"/>
      <c r="F72" s="6">
        <f>G72-200</f>
        <v>7545</v>
      </c>
      <c r="G72" s="6">
        <f>H72-200</f>
        <v>7745</v>
      </c>
      <c r="H72" s="6">
        <f>I72-200</f>
        <v>7945</v>
      </c>
      <c r="I72" s="6">
        <f>J72-200</f>
        <v>8145</v>
      </c>
      <c r="J72" s="58">
        <f>B77</f>
        <v>8345</v>
      </c>
      <c r="K72" s="6">
        <f>J72+200</f>
        <v>8545</v>
      </c>
      <c r="L72" s="6">
        <f>K72+200</f>
        <v>8745</v>
      </c>
      <c r="M72" s="6">
        <f>L72+200</f>
        <v>8945</v>
      </c>
      <c r="N72" s="6">
        <f>M72+200</f>
        <v>9145</v>
      </c>
      <c r="P72" s="365" t="s">
        <v>22</v>
      </c>
      <c r="Q72" s="367"/>
      <c r="R72" s="6">
        <f>S72-200</f>
        <v>7545</v>
      </c>
      <c r="S72" s="6">
        <f>T72-200</f>
        <v>7745</v>
      </c>
      <c r="T72" s="6">
        <f>U72-200</f>
        <v>7945</v>
      </c>
      <c r="U72" s="6">
        <f>V72-200</f>
        <v>8145</v>
      </c>
      <c r="V72" s="58">
        <f>J72</f>
        <v>8345</v>
      </c>
      <c r="W72" s="6">
        <f>V72+200</f>
        <v>8545</v>
      </c>
      <c r="X72" s="6">
        <f>W72+200</f>
        <v>8745</v>
      </c>
      <c r="Y72" s="6">
        <f>X72+200</f>
        <v>8945</v>
      </c>
      <c r="Z72" s="6">
        <f>Y72+200</f>
        <v>9145</v>
      </c>
    </row>
    <row r="73" spans="1:26" ht="13.5" customHeight="1" thickBot="1" x14ac:dyDescent="0.3">
      <c r="A73" s="48" t="s">
        <v>23</v>
      </c>
      <c r="B73" s="55">
        <f>B72+B71</f>
        <v>22944.654530374806</v>
      </c>
      <c r="C73" s="33"/>
      <c r="D73" s="368" t="s">
        <v>24</v>
      </c>
      <c r="E73" s="369"/>
      <c r="F73" s="27">
        <f t="shared" ref="F73:N73" si="17">F72-$B$78</f>
        <v>7335.51</v>
      </c>
      <c r="G73" s="7">
        <f t="shared" si="17"/>
        <v>7535.51</v>
      </c>
      <c r="H73" s="7">
        <f t="shared" si="17"/>
        <v>7735.51</v>
      </c>
      <c r="I73" s="7">
        <f t="shared" si="17"/>
        <v>7935.51</v>
      </c>
      <c r="J73" s="61">
        <f>J72-$B$78</f>
        <v>8135.51</v>
      </c>
      <c r="K73" s="7">
        <f t="shared" si="17"/>
        <v>8335.51</v>
      </c>
      <c r="L73" s="7">
        <f t="shared" si="17"/>
        <v>8535.51</v>
      </c>
      <c r="M73" s="7">
        <f t="shared" si="17"/>
        <v>8735.51</v>
      </c>
      <c r="N73" s="7">
        <f t="shared" si="17"/>
        <v>8935.51</v>
      </c>
      <c r="P73" s="368" t="s">
        <v>24</v>
      </c>
      <c r="Q73" s="369"/>
      <c r="R73" s="7">
        <f t="shared" ref="R73:Z73" si="18">R72-$B$78</f>
        <v>7335.51</v>
      </c>
      <c r="S73" s="7">
        <f t="shared" si="18"/>
        <v>7535.51</v>
      </c>
      <c r="T73" s="7">
        <f t="shared" si="18"/>
        <v>7735.51</v>
      </c>
      <c r="U73" s="7">
        <f t="shared" si="18"/>
        <v>7935.51</v>
      </c>
      <c r="V73" s="62">
        <f t="shared" si="18"/>
        <v>8135.51</v>
      </c>
      <c r="W73" s="7">
        <f t="shared" si="18"/>
        <v>8335.51</v>
      </c>
      <c r="X73" s="7">
        <f t="shared" si="18"/>
        <v>8535.51</v>
      </c>
      <c r="Y73" s="7">
        <f t="shared" si="18"/>
        <v>8735.51</v>
      </c>
      <c r="Z73" s="7">
        <f t="shared" si="18"/>
        <v>8935.51</v>
      </c>
    </row>
    <row r="74" spans="1:26" ht="13.5" customHeight="1" thickBot="1" x14ac:dyDescent="0.3">
      <c r="A74" s="47"/>
      <c r="B74" s="40"/>
      <c r="C74" s="44"/>
      <c r="D74" s="362" t="s">
        <v>25</v>
      </c>
      <c r="E74" s="8">
        <f>E75-0.25</f>
        <v>1.5</v>
      </c>
      <c r="F74" s="9">
        <f>F$73-($B$73/$E74)</f>
        <v>-7960.9263535832033</v>
      </c>
      <c r="G74" s="10">
        <f t="shared" ref="F74:N78" si="19">G$73-($B$73/$E74)</f>
        <v>-7760.9263535832033</v>
      </c>
      <c r="H74" s="10">
        <f t="shared" si="19"/>
        <v>-7560.9263535832033</v>
      </c>
      <c r="I74" s="10">
        <f t="shared" si="19"/>
        <v>-7360.9263535832033</v>
      </c>
      <c r="J74" s="10">
        <f t="shared" si="19"/>
        <v>-7160.9263535832033</v>
      </c>
      <c r="K74" s="10">
        <f t="shared" si="19"/>
        <v>-6960.9263535832033</v>
      </c>
      <c r="L74" s="10">
        <f t="shared" si="19"/>
        <v>-6760.9263535832033</v>
      </c>
      <c r="M74" s="11">
        <f t="shared" si="19"/>
        <v>-6560.9263535832033</v>
      </c>
      <c r="N74" s="12">
        <f t="shared" si="19"/>
        <v>-6360.9263535832033</v>
      </c>
      <c r="P74" s="362" t="s">
        <v>25</v>
      </c>
      <c r="Q74" s="8">
        <f>Q75-0.25</f>
        <v>1.5</v>
      </c>
      <c r="R74" s="9">
        <f>R$73-($B$71/$E74)</f>
        <v>-3437.6796869165355</v>
      </c>
      <c r="S74" s="9">
        <f t="shared" ref="S74:Z74" si="20">S$73-($B$71/$E74)</f>
        <v>-3237.6796869165355</v>
      </c>
      <c r="T74" s="9">
        <f t="shared" si="20"/>
        <v>-3037.6796869165355</v>
      </c>
      <c r="U74" s="9">
        <f t="shared" si="20"/>
        <v>-2837.6796869165355</v>
      </c>
      <c r="V74" s="9">
        <f t="shared" si="20"/>
        <v>-2637.6796869165355</v>
      </c>
      <c r="W74" s="9">
        <f t="shared" si="20"/>
        <v>-2437.6796869165355</v>
      </c>
      <c r="X74" s="9">
        <f t="shared" si="20"/>
        <v>-2237.6796869165355</v>
      </c>
      <c r="Y74" s="9">
        <f t="shared" si="20"/>
        <v>-2037.6796869165355</v>
      </c>
      <c r="Z74" s="9">
        <f t="shared" si="20"/>
        <v>-1837.6796869165355</v>
      </c>
    </row>
    <row r="75" spans="1:26" ht="13.5" customHeight="1" thickBot="1" x14ac:dyDescent="0.3">
      <c r="A75" s="47" t="s">
        <v>26</v>
      </c>
      <c r="B75" s="63">
        <v>2</v>
      </c>
      <c r="C75" s="45"/>
      <c r="D75" s="363"/>
      <c r="E75" s="8">
        <f>E76-0.25</f>
        <v>1.75</v>
      </c>
      <c r="F75" s="13">
        <f t="shared" si="19"/>
        <v>-5775.7211602141742</v>
      </c>
      <c r="G75" s="14">
        <f t="shared" si="19"/>
        <v>-5575.7211602141742</v>
      </c>
      <c r="H75" s="14">
        <f t="shared" si="19"/>
        <v>-5375.7211602141742</v>
      </c>
      <c r="I75" s="14">
        <f t="shared" si="19"/>
        <v>-5175.7211602141742</v>
      </c>
      <c r="J75" s="14">
        <f t="shared" si="19"/>
        <v>-4975.7211602141742</v>
      </c>
      <c r="K75" s="15">
        <f t="shared" si="19"/>
        <v>-4775.7211602141742</v>
      </c>
      <c r="L75" s="15">
        <f t="shared" si="19"/>
        <v>-4575.7211602141742</v>
      </c>
      <c r="M75" s="15">
        <f t="shared" si="19"/>
        <v>-4375.7211602141742</v>
      </c>
      <c r="N75" s="16">
        <f t="shared" si="19"/>
        <v>-4175.7211602141742</v>
      </c>
      <c r="P75" s="363"/>
      <c r="Q75" s="8">
        <f>Q76-0.25</f>
        <v>1.75</v>
      </c>
      <c r="R75" s="9">
        <f t="shared" ref="R75:Z78" si="21">R$73-($B$71/$E75)</f>
        <v>-1898.6525887856023</v>
      </c>
      <c r="S75" s="9">
        <f t="shared" si="21"/>
        <v>-1698.6525887856023</v>
      </c>
      <c r="T75" s="9">
        <f t="shared" si="21"/>
        <v>-1498.6525887856023</v>
      </c>
      <c r="U75" s="9">
        <f t="shared" si="21"/>
        <v>-1298.6525887856023</v>
      </c>
      <c r="V75" s="9">
        <f t="shared" si="21"/>
        <v>-1098.6525887856023</v>
      </c>
      <c r="W75" s="9">
        <f t="shared" si="21"/>
        <v>-898.65258878560235</v>
      </c>
      <c r="X75" s="9">
        <f t="shared" si="21"/>
        <v>-698.65258878560235</v>
      </c>
      <c r="Y75" s="9">
        <f t="shared" si="21"/>
        <v>-498.65258878560235</v>
      </c>
      <c r="Z75" s="9">
        <f t="shared" si="21"/>
        <v>-298.65258878560235</v>
      </c>
    </row>
    <row r="76" spans="1:26" ht="13.5" customHeight="1" thickBot="1" x14ac:dyDescent="0.3">
      <c r="A76" s="47"/>
      <c r="B76" s="40"/>
      <c r="C76" s="44"/>
      <c r="D76" s="363"/>
      <c r="E76" s="64">
        <f>B75</f>
        <v>2</v>
      </c>
      <c r="F76" s="13">
        <f t="shared" si="19"/>
        <v>-4136.8172651874029</v>
      </c>
      <c r="G76" s="14">
        <f t="shared" si="19"/>
        <v>-3936.8172651874029</v>
      </c>
      <c r="H76" s="14">
        <f t="shared" si="19"/>
        <v>-3736.8172651874029</v>
      </c>
      <c r="I76" s="14">
        <f t="shared" si="19"/>
        <v>-3536.8172651874029</v>
      </c>
      <c r="J76" s="15">
        <f>J$73-($B$73/$E76)</f>
        <v>-3336.8172651874029</v>
      </c>
      <c r="K76" s="15">
        <f t="shared" si="19"/>
        <v>-3136.8172651874029</v>
      </c>
      <c r="L76" s="15">
        <f t="shared" si="19"/>
        <v>-2936.8172651874029</v>
      </c>
      <c r="M76" s="15">
        <f t="shared" si="19"/>
        <v>-2736.8172651874029</v>
      </c>
      <c r="N76" s="16">
        <f t="shared" si="19"/>
        <v>-2536.8172651874029</v>
      </c>
      <c r="P76" s="363"/>
      <c r="Q76" s="64">
        <f>E76</f>
        <v>2</v>
      </c>
      <c r="R76" s="9">
        <f>R$73-($B$71/$E76)</f>
        <v>-744.38226518740157</v>
      </c>
      <c r="S76" s="9">
        <f t="shared" si="21"/>
        <v>-544.38226518740157</v>
      </c>
      <c r="T76" s="9">
        <f t="shared" si="21"/>
        <v>-344.38226518740157</v>
      </c>
      <c r="U76" s="9">
        <f t="shared" si="21"/>
        <v>-144.38226518740157</v>
      </c>
      <c r="V76" s="9">
        <f t="shared" si="21"/>
        <v>55.617734812598428</v>
      </c>
      <c r="W76" s="9">
        <f t="shared" si="21"/>
        <v>255.61773481259843</v>
      </c>
      <c r="X76" s="9">
        <f t="shared" si="21"/>
        <v>455.61773481259843</v>
      </c>
      <c r="Y76" s="9">
        <f t="shared" si="21"/>
        <v>655.61773481259843</v>
      </c>
      <c r="Z76" s="9">
        <f t="shared" si="21"/>
        <v>855.61773481259843</v>
      </c>
    </row>
    <row r="77" spans="1:26" ht="13.5" customHeight="1" thickBot="1" x14ac:dyDescent="0.3">
      <c r="A77" s="47" t="s">
        <v>173</v>
      </c>
      <c r="B77" s="53">
        <f>B6</f>
        <v>8345</v>
      </c>
      <c r="C77" s="44"/>
      <c r="D77" s="363"/>
      <c r="E77" s="8">
        <f>E76+0.25</f>
        <v>2.25</v>
      </c>
      <c r="F77" s="13">
        <f t="shared" si="19"/>
        <v>-2862.1142357221361</v>
      </c>
      <c r="G77" s="14">
        <f t="shared" si="19"/>
        <v>-2662.1142357221361</v>
      </c>
      <c r="H77" s="14">
        <f t="shared" si="19"/>
        <v>-2462.1142357221361</v>
      </c>
      <c r="I77" s="15">
        <f t="shared" si="19"/>
        <v>-2262.1142357221361</v>
      </c>
      <c r="J77" s="15">
        <f t="shared" si="19"/>
        <v>-2062.1142357221361</v>
      </c>
      <c r="K77" s="15">
        <f t="shared" si="19"/>
        <v>-1862.1142357221361</v>
      </c>
      <c r="L77" s="15">
        <f t="shared" si="19"/>
        <v>-1662.1142357221361</v>
      </c>
      <c r="M77" s="15">
        <f t="shared" si="19"/>
        <v>-1462.1142357221361</v>
      </c>
      <c r="N77" s="16">
        <f t="shared" si="19"/>
        <v>-1262.1142357221361</v>
      </c>
      <c r="P77" s="363"/>
      <c r="Q77" s="8">
        <f>Q76+0.25</f>
        <v>2.25</v>
      </c>
      <c r="R77" s="9">
        <f t="shared" si="21"/>
        <v>153.38354205564337</v>
      </c>
      <c r="S77" s="9">
        <f t="shared" si="21"/>
        <v>353.38354205564337</v>
      </c>
      <c r="T77" s="9">
        <f t="shared" si="21"/>
        <v>553.38354205564337</v>
      </c>
      <c r="U77" s="9">
        <f t="shared" si="21"/>
        <v>753.38354205564337</v>
      </c>
      <c r="V77" s="9">
        <f t="shared" si="21"/>
        <v>953.38354205564337</v>
      </c>
      <c r="W77" s="9">
        <f t="shared" si="21"/>
        <v>1153.3835420556434</v>
      </c>
      <c r="X77" s="9">
        <f t="shared" si="21"/>
        <v>1353.3835420556434</v>
      </c>
      <c r="Y77" s="9">
        <f t="shared" si="21"/>
        <v>1553.3835420556434</v>
      </c>
      <c r="Z77" s="9">
        <f t="shared" si="21"/>
        <v>1753.3835420556434</v>
      </c>
    </row>
    <row r="78" spans="1:26" ht="13.5" customHeight="1" thickBot="1" x14ac:dyDescent="0.3">
      <c r="A78" s="49" t="s">
        <v>27</v>
      </c>
      <c r="B78" s="54">
        <f>D6</f>
        <v>209.49</v>
      </c>
      <c r="C78" s="46"/>
      <c r="D78" s="364"/>
      <c r="E78" s="8">
        <f>E77+0.25</f>
        <v>2.5</v>
      </c>
      <c r="F78" s="17">
        <f t="shared" si="19"/>
        <v>-1842.3518121499219</v>
      </c>
      <c r="G78" s="18">
        <f>G$73-($B$73/$E78)</f>
        <v>-1642.3518121499219</v>
      </c>
      <c r="H78" s="19">
        <f t="shared" si="19"/>
        <v>-1442.3518121499219</v>
      </c>
      <c r="I78" s="19">
        <f t="shared" si="19"/>
        <v>-1242.3518121499219</v>
      </c>
      <c r="J78" s="19">
        <f t="shared" si="19"/>
        <v>-1042.3518121499219</v>
      </c>
      <c r="K78" s="19">
        <f t="shared" si="19"/>
        <v>-842.3518121499219</v>
      </c>
      <c r="L78" s="19">
        <f t="shared" si="19"/>
        <v>-642.3518121499219</v>
      </c>
      <c r="M78" s="19">
        <f t="shared" si="19"/>
        <v>-442.3518121499219</v>
      </c>
      <c r="N78" s="20">
        <f>N$73-($B$73/$E78)</f>
        <v>-242.3518121499219</v>
      </c>
      <c r="P78" s="364"/>
      <c r="Q78" s="8">
        <f>Q77+0.25</f>
        <v>2.5</v>
      </c>
      <c r="R78" s="9">
        <f t="shared" si="21"/>
        <v>871.59618785007842</v>
      </c>
      <c r="S78" s="9">
        <f>S$73-($B$71/$E78)</f>
        <v>1071.5961878500784</v>
      </c>
      <c r="T78" s="9">
        <f t="shared" si="21"/>
        <v>1271.5961878500784</v>
      </c>
      <c r="U78" s="9">
        <f t="shared" si="21"/>
        <v>1471.5961878500784</v>
      </c>
      <c r="V78" s="9">
        <f t="shared" si="21"/>
        <v>1671.5961878500784</v>
      </c>
      <c r="W78" s="9">
        <f t="shared" si="21"/>
        <v>1871.5961878500784</v>
      </c>
      <c r="X78" s="9">
        <f t="shared" si="21"/>
        <v>2071.5961878500784</v>
      </c>
      <c r="Y78" s="9">
        <f t="shared" si="21"/>
        <v>2271.5961878500784</v>
      </c>
      <c r="Z78" s="9">
        <f t="shared" si="21"/>
        <v>2471.5961878500784</v>
      </c>
    </row>
    <row r="79" spans="1:26" ht="13.5" customHeight="1" x14ac:dyDescent="0.25">
      <c r="A79" s="42" t="s">
        <v>28</v>
      </c>
      <c r="B79" s="55">
        <f>B77-B78</f>
        <v>8135.51</v>
      </c>
      <c r="C79" s="46"/>
    </row>
    <row r="80" spans="1:26" ht="13.5" customHeight="1" x14ac:dyDescent="0.25"/>
    <row r="81" spans="1:26" ht="13.5" customHeight="1" x14ac:dyDescent="0.25"/>
    <row r="82" spans="1:26" ht="13.5" customHeight="1" thickBot="1" x14ac:dyDescent="0.3">
      <c r="A82" s="360"/>
      <c r="B82" s="360"/>
    </row>
    <row r="83" spans="1:26" ht="19.5" customHeight="1" thickBot="1" x14ac:dyDescent="0.3">
      <c r="A83" s="361" t="s">
        <v>38</v>
      </c>
      <c r="B83" s="361"/>
      <c r="C83" s="39"/>
      <c r="D83" s="365" t="s">
        <v>39</v>
      </c>
      <c r="E83" s="366"/>
      <c r="F83" s="366"/>
      <c r="G83" s="366"/>
      <c r="H83" s="366"/>
      <c r="I83" s="366"/>
      <c r="J83" s="366"/>
      <c r="K83" s="366"/>
      <c r="L83" s="366"/>
      <c r="M83" s="366"/>
      <c r="N83" s="367"/>
      <c r="P83" s="365" t="s">
        <v>40</v>
      </c>
      <c r="Q83" s="366"/>
      <c r="R83" s="366"/>
      <c r="S83" s="366"/>
      <c r="T83" s="366"/>
      <c r="U83" s="366"/>
      <c r="V83" s="366"/>
      <c r="W83" s="366"/>
      <c r="X83" s="366"/>
      <c r="Y83" s="366"/>
      <c r="Z83" s="367"/>
    </row>
    <row r="84" spans="1:26" ht="13.5" customHeight="1" thickBot="1" x14ac:dyDescent="0.3">
      <c r="A84" s="47" t="s">
        <v>19</v>
      </c>
      <c r="B84" s="53">
        <f>Graansorghum!F25</f>
        <v>11372.948211171897</v>
      </c>
      <c r="C84" s="43"/>
      <c r="D84" s="3"/>
      <c r="E84" s="4"/>
      <c r="F84" s="58"/>
      <c r="G84" s="5"/>
      <c r="H84" s="58"/>
      <c r="I84" s="58"/>
      <c r="J84" s="58" t="s">
        <v>37</v>
      </c>
      <c r="K84" s="59"/>
      <c r="L84" s="58"/>
      <c r="M84" s="59"/>
      <c r="N84" s="58"/>
      <c r="P84" s="3"/>
      <c r="Q84" s="4"/>
      <c r="R84" s="58"/>
      <c r="S84" s="5"/>
      <c r="T84" s="58"/>
      <c r="U84" s="58"/>
      <c r="V84" s="58" t="s">
        <v>37</v>
      </c>
      <c r="W84" s="59"/>
      <c r="X84" s="58"/>
      <c r="Y84" s="59"/>
      <c r="Z84" s="58"/>
    </row>
    <row r="85" spans="1:26" ht="13.5" customHeight="1" thickBot="1" x14ac:dyDescent="0.3">
      <c r="A85" s="47" t="s">
        <v>21</v>
      </c>
      <c r="B85" s="54">
        <f>Graansorghum!F27</f>
        <v>6918.24</v>
      </c>
      <c r="C85" s="43"/>
      <c r="D85" s="365" t="s">
        <v>22</v>
      </c>
      <c r="E85" s="367"/>
      <c r="F85" s="6">
        <f>G85-200</f>
        <v>2700</v>
      </c>
      <c r="G85" s="6">
        <f>H85-200</f>
        <v>2900</v>
      </c>
      <c r="H85" s="6">
        <f>I85-200</f>
        <v>3100</v>
      </c>
      <c r="I85" s="6">
        <f>J85-200</f>
        <v>3300</v>
      </c>
      <c r="J85" s="58">
        <f>B90</f>
        <v>3500</v>
      </c>
      <c r="K85" s="6">
        <f>J85+200</f>
        <v>3700</v>
      </c>
      <c r="L85" s="6">
        <f>K85+200</f>
        <v>3900</v>
      </c>
      <c r="M85" s="6">
        <f>L85+200</f>
        <v>4100</v>
      </c>
      <c r="N85" s="6">
        <f>M85+200</f>
        <v>4300</v>
      </c>
      <c r="P85" s="365" t="s">
        <v>22</v>
      </c>
      <c r="Q85" s="367"/>
      <c r="R85" s="6">
        <f>S85-200</f>
        <v>2700</v>
      </c>
      <c r="S85" s="6">
        <f>T85-200</f>
        <v>2900</v>
      </c>
      <c r="T85" s="6">
        <f>U85-200</f>
        <v>3100</v>
      </c>
      <c r="U85" s="6">
        <f>V85-200</f>
        <v>3300</v>
      </c>
      <c r="V85" s="58">
        <f>J85</f>
        <v>3500</v>
      </c>
      <c r="W85" s="6">
        <f>V85+200</f>
        <v>3700</v>
      </c>
      <c r="X85" s="6">
        <f>W85+200</f>
        <v>3900</v>
      </c>
      <c r="Y85" s="6">
        <f>X85+200</f>
        <v>4100</v>
      </c>
      <c r="Z85" s="6">
        <f>Y85+200</f>
        <v>4300</v>
      </c>
    </row>
    <row r="86" spans="1:26" ht="13.5" customHeight="1" thickBot="1" x14ac:dyDescent="0.3">
      <c r="A86" s="48" t="s">
        <v>23</v>
      </c>
      <c r="B86" s="55">
        <f>B85+B84</f>
        <v>18291.188211171895</v>
      </c>
      <c r="C86" s="33"/>
      <c r="D86" s="368" t="s">
        <v>24</v>
      </c>
      <c r="E86" s="369"/>
      <c r="F86" s="27">
        <f t="shared" ref="F86:N86" si="22">F85-$B$78</f>
        <v>2490.5100000000002</v>
      </c>
      <c r="G86" s="7">
        <f t="shared" si="22"/>
        <v>2690.51</v>
      </c>
      <c r="H86" s="7">
        <f t="shared" si="22"/>
        <v>2890.51</v>
      </c>
      <c r="I86" s="7">
        <f t="shared" si="22"/>
        <v>3090.51</v>
      </c>
      <c r="J86" s="58">
        <f>J85-$B$78</f>
        <v>3290.51</v>
      </c>
      <c r="K86" s="7">
        <f t="shared" si="22"/>
        <v>3490.51</v>
      </c>
      <c r="L86" s="7">
        <f t="shared" si="22"/>
        <v>3690.51</v>
      </c>
      <c r="M86" s="7">
        <f t="shared" si="22"/>
        <v>3890.51</v>
      </c>
      <c r="N86" s="7">
        <f t="shared" si="22"/>
        <v>4090.51</v>
      </c>
      <c r="P86" s="368" t="s">
        <v>24</v>
      </c>
      <c r="Q86" s="369"/>
      <c r="R86" s="7">
        <f t="shared" ref="R86:Z86" si="23">R85-$B$78</f>
        <v>2490.5100000000002</v>
      </c>
      <c r="S86" s="7">
        <f t="shared" si="23"/>
        <v>2690.51</v>
      </c>
      <c r="T86" s="7">
        <f t="shared" si="23"/>
        <v>2890.51</v>
      </c>
      <c r="U86" s="7">
        <f t="shared" si="23"/>
        <v>3090.51</v>
      </c>
      <c r="V86" s="62">
        <f t="shared" si="23"/>
        <v>3290.51</v>
      </c>
      <c r="W86" s="7">
        <f t="shared" si="23"/>
        <v>3490.51</v>
      </c>
      <c r="X86" s="7">
        <f t="shared" si="23"/>
        <v>3690.51</v>
      </c>
      <c r="Y86" s="7">
        <f t="shared" si="23"/>
        <v>3890.51</v>
      </c>
      <c r="Z86" s="7">
        <f t="shared" si="23"/>
        <v>4090.51</v>
      </c>
    </row>
    <row r="87" spans="1:26" ht="13.5" customHeight="1" thickBot="1" x14ac:dyDescent="0.3">
      <c r="A87" s="47"/>
      <c r="B87" s="40"/>
      <c r="C87" s="44"/>
      <c r="D87" s="362" t="s">
        <v>25</v>
      </c>
      <c r="E87" s="8">
        <f>E88-0.25</f>
        <v>2.5</v>
      </c>
      <c r="F87" s="9">
        <f>F$86-($B$86/$E87)</f>
        <v>-4825.965284468758</v>
      </c>
      <c r="G87" s="9">
        <f t="shared" ref="G87:N87" si="24">G$86-($B$86/$E87)</f>
        <v>-4625.965284468758</v>
      </c>
      <c r="H87" s="9">
        <f t="shared" si="24"/>
        <v>-4425.965284468758</v>
      </c>
      <c r="I87" s="9">
        <f t="shared" si="24"/>
        <v>-4225.965284468758</v>
      </c>
      <c r="J87" s="9">
        <f t="shared" si="24"/>
        <v>-4025.965284468758</v>
      </c>
      <c r="K87" s="9">
        <f t="shared" si="24"/>
        <v>-3825.965284468758</v>
      </c>
      <c r="L87" s="9">
        <f>L$86-($B$86/$E87)</f>
        <v>-3625.965284468758</v>
      </c>
      <c r="M87" s="9">
        <f t="shared" si="24"/>
        <v>-3425.965284468758</v>
      </c>
      <c r="N87" s="9">
        <f t="shared" si="24"/>
        <v>-3225.965284468758</v>
      </c>
      <c r="P87" s="362" t="s">
        <v>25</v>
      </c>
      <c r="Q87" s="8">
        <f>Q88-0.25</f>
        <v>2.5</v>
      </c>
      <c r="R87" s="9">
        <f>R$86-($B$84/$E87)</f>
        <v>-2058.6692844687586</v>
      </c>
      <c r="S87" s="9">
        <f t="shared" ref="S87:Z87" si="25">S$86-($B$84/$E87)</f>
        <v>-1858.6692844687586</v>
      </c>
      <c r="T87" s="9">
        <f t="shared" si="25"/>
        <v>-1658.6692844687586</v>
      </c>
      <c r="U87" s="9">
        <f t="shared" si="25"/>
        <v>-1458.6692844687586</v>
      </c>
      <c r="V87" s="9">
        <f t="shared" si="25"/>
        <v>-1258.6692844687586</v>
      </c>
      <c r="W87" s="9">
        <f t="shared" si="25"/>
        <v>-1058.6692844687586</v>
      </c>
      <c r="X87" s="9">
        <f t="shared" si="25"/>
        <v>-858.66928446875863</v>
      </c>
      <c r="Y87" s="9">
        <f t="shared" si="25"/>
        <v>-658.66928446875863</v>
      </c>
      <c r="Z87" s="9">
        <f t="shared" si="25"/>
        <v>-458.66928446875863</v>
      </c>
    </row>
    <row r="88" spans="1:26" ht="13.5" customHeight="1" thickBot="1" x14ac:dyDescent="0.3">
      <c r="A88" s="47" t="s">
        <v>26</v>
      </c>
      <c r="B88" s="63">
        <v>3</v>
      </c>
      <c r="C88" s="45"/>
      <c r="D88" s="363"/>
      <c r="E88" s="8">
        <f>E89-0.25</f>
        <v>2.75</v>
      </c>
      <c r="F88" s="9">
        <f t="shared" ref="F88:N91" si="26">F$86-($B$86/$E88)</f>
        <v>-4160.8311676988706</v>
      </c>
      <c r="G88" s="9">
        <f t="shared" si="26"/>
        <v>-3960.8311676988706</v>
      </c>
      <c r="H88" s="9">
        <f t="shared" si="26"/>
        <v>-3760.8311676988706</v>
      </c>
      <c r="I88" s="9">
        <f t="shared" si="26"/>
        <v>-3560.8311676988706</v>
      </c>
      <c r="J88" s="9">
        <f t="shared" si="26"/>
        <v>-3360.8311676988706</v>
      </c>
      <c r="K88" s="9">
        <f t="shared" si="26"/>
        <v>-3160.8311676988706</v>
      </c>
      <c r="L88" s="9">
        <f t="shared" si="26"/>
        <v>-2960.8311676988706</v>
      </c>
      <c r="M88" s="9">
        <f t="shared" si="26"/>
        <v>-2760.8311676988706</v>
      </c>
      <c r="N88" s="9">
        <f t="shared" si="26"/>
        <v>-2560.8311676988706</v>
      </c>
      <c r="P88" s="363"/>
      <c r="Q88" s="8">
        <f>Q89-0.25</f>
        <v>2.75</v>
      </c>
      <c r="R88" s="9">
        <f t="shared" ref="R88:Z91" si="27">R$86-($B$84/$E88)</f>
        <v>-1645.1075313352349</v>
      </c>
      <c r="S88" s="9">
        <f t="shared" si="27"/>
        <v>-1445.1075313352349</v>
      </c>
      <c r="T88" s="9">
        <f t="shared" si="27"/>
        <v>-1245.1075313352349</v>
      </c>
      <c r="U88" s="9">
        <f t="shared" si="27"/>
        <v>-1045.1075313352349</v>
      </c>
      <c r="V88" s="9">
        <f t="shared" si="27"/>
        <v>-845.10753133523485</v>
      </c>
      <c r="W88" s="9">
        <f t="shared" si="27"/>
        <v>-645.10753133523485</v>
      </c>
      <c r="X88" s="9">
        <f t="shared" si="27"/>
        <v>-445.10753133523485</v>
      </c>
      <c r="Y88" s="9">
        <f t="shared" si="27"/>
        <v>-245.10753133523485</v>
      </c>
      <c r="Z88" s="9">
        <f t="shared" si="27"/>
        <v>-45.107531335234853</v>
      </c>
    </row>
    <row r="89" spans="1:26" ht="13.5" customHeight="1" thickBot="1" x14ac:dyDescent="0.3">
      <c r="A89" s="47"/>
      <c r="B89" s="40"/>
      <c r="C89" s="44"/>
      <c r="D89" s="363"/>
      <c r="E89" s="64">
        <f>B88</f>
        <v>3</v>
      </c>
      <c r="F89" s="9">
        <f t="shared" si="26"/>
        <v>-3606.5527370572981</v>
      </c>
      <c r="G89" s="9">
        <f t="shared" si="26"/>
        <v>-3406.5527370572981</v>
      </c>
      <c r="H89" s="9">
        <f t="shared" si="26"/>
        <v>-3206.5527370572981</v>
      </c>
      <c r="I89" s="9">
        <f t="shared" si="26"/>
        <v>-3006.5527370572981</v>
      </c>
      <c r="J89" s="9">
        <f t="shared" si="26"/>
        <v>-2806.5527370572981</v>
      </c>
      <c r="K89" s="9">
        <f t="shared" si="26"/>
        <v>-2606.5527370572981</v>
      </c>
      <c r="L89" s="9">
        <f t="shared" si="26"/>
        <v>-2406.5527370572981</v>
      </c>
      <c r="M89" s="9">
        <f t="shared" si="26"/>
        <v>-2206.5527370572981</v>
      </c>
      <c r="N89" s="9">
        <f t="shared" si="26"/>
        <v>-2006.5527370572981</v>
      </c>
      <c r="P89" s="363"/>
      <c r="Q89" s="64">
        <f>E89</f>
        <v>3</v>
      </c>
      <c r="R89" s="9">
        <f t="shared" si="27"/>
        <v>-1300.4727370572987</v>
      </c>
      <c r="S89" s="9">
        <f t="shared" si="27"/>
        <v>-1100.4727370572987</v>
      </c>
      <c r="T89" s="9">
        <f t="shared" si="27"/>
        <v>-900.47273705729867</v>
      </c>
      <c r="U89" s="9">
        <f t="shared" si="27"/>
        <v>-700.47273705729867</v>
      </c>
      <c r="V89" s="9">
        <f t="shared" si="27"/>
        <v>-500.47273705729867</v>
      </c>
      <c r="W89" s="9">
        <f t="shared" si="27"/>
        <v>-300.47273705729867</v>
      </c>
      <c r="X89" s="9">
        <f t="shared" si="27"/>
        <v>-100.47273705729867</v>
      </c>
      <c r="Y89" s="9">
        <f t="shared" si="27"/>
        <v>99.527262942701327</v>
      </c>
      <c r="Z89" s="9">
        <f t="shared" si="27"/>
        <v>299.52726294270133</v>
      </c>
    </row>
    <row r="90" spans="1:26" ht="13.5" customHeight="1" thickBot="1" x14ac:dyDescent="0.3">
      <c r="A90" s="47" t="s">
        <v>176</v>
      </c>
      <c r="B90" s="53">
        <f>B7</f>
        <v>3500</v>
      </c>
      <c r="C90" s="44"/>
      <c r="D90" s="363"/>
      <c r="E90" s="8">
        <f>E89+0.25</f>
        <v>3.25</v>
      </c>
      <c r="F90" s="9">
        <f t="shared" si="26"/>
        <v>-3137.5479111298137</v>
      </c>
      <c r="G90" s="9">
        <f t="shared" si="26"/>
        <v>-2937.5479111298137</v>
      </c>
      <c r="H90" s="9">
        <f t="shared" si="26"/>
        <v>-2737.5479111298137</v>
      </c>
      <c r="I90" s="9">
        <f t="shared" si="26"/>
        <v>-2537.5479111298137</v>
      </c>
      <c r="J90" s="9">
        <f t="shared" si="26"/>
        <v>-2337.5479111298137</v>
      </c>
      <c r="K90" s="9">
        <f t="shared" si="26"/>
        <v>-2137.5479111298137</v>
      </c>
      <c r="L90" s="9">
        <f t="shared" si="26"/>
        <v>-1937.5479111298137</v>
      </c>
      <c r="M90" s="9">
        <f t="shared" si="26"/>
        <v>-1737.5479111298137</v>
      </c>
      <c r="N90" s="9">
        <f t="shared" si="26"/>
        <v>-1537.5479111298137</v>
      </c>
      <c r="P90" s="363"/>
      <c r="Q90" s="8">
        <f>Q89+0.25</f>
        <v>3.25</v>
      </c>
      <c r="R90" s="9">
        <f t="shared" si="27"/>
        <v>-1008.8586803605835</v>
      </c>
      <c r="S90" s="9">
        <f t="shared" si="27"/>
        <v>-808.85868036058355</v>
      </c>
      <c r="T90" s="9">
        <f t="shared" si="27"/>
        <v>-608.85868036058355</v>
      </c>
      <c r="U90" s="9">
        <f t="shared" si="27"/>
        <v>-408.85868036058355</v>
      </c>
      <c r="V90" s="9">
        <f t="shared" si="27"/>
        <v>-208.85868036058355</v>
      </c>
      <c r="W90" s="9">
        <f t="shared" si="27"/>
        <v>-8.8586803605835485</v>
      </c>
      <c r="X90" s="9">
        <f t="shared" si="27"/>
        <v>191.14131963941645</v>
      </c>
      <c r="Y90" s="9">
        <f t="shared" si="27"/>
        <v>391.14131963941645</v>
      </c>
      <c r="Z90" s="9">
        <f t="shared" si="27"/>
        <v>591.14131963941645</v>
      </c>
    </row>
    <row r="91" spans="1:26" ht="13.5" customHeight="1" thickBot="1" x14ac:dyDescent="0.3">
      <c r="A91" s="49" t="s">
        <v>27</v>
      </c>
      <c r="B91" s="54">
        <f>D7</f>
        <v>132</v>
      </c>
      <c r="C91" s="46"/>
      <c r="D91" s="364"/>
      <c r="E91" s="8">
        <f>E90+0.25</f>
        <v>3.5</v>
      </c>
      <c r="F91" s="9">
        <f t="shared" si="26"/>
        <v>-2735.5437746205416</v>
      </c>
      <c r="G91" s="9">
        <f>G$86-($B$86/$E91)</f>
        <v>-2535.5437746205416</v>
      </c>
      <c r="H91" s="9">
        <f t="shared" si="26"/>
        <v>-2335.5437746205416</v>
      </c>
      <c r="I91" s="9">
        <f t="shared" si="26"/>
        <v>-2135.5437746205416</v>
      </c>
      <c r="J91" s="9">
        <f t="shared" si="26"/>
        <v>-1935.5437746205416</v>
      </c>
      <c r="K91" s="9">
        <f t="shared" si="26"/>
        <v>-1735.5437746205416</v>
      </c>
      <c r="L91" s="9">
        <f t="shared" si="26"/>
        <v>-1535.5437746205416</v>
      </c>
      <c r="M91" s="9">
        <f t="shared" si="26"/>
        <v>-1335.5437746205416</v>
      </c>
      <c r="N91" s="9">
        <f>N$86-($B$86/$E91)</f>
        <v>-1135.5437746205416</v>
      </c>
      <c r="P91" s="364"/>
      <c r="Q91" s="8">
        <f>Q90+0.25</f>
        <v>3.5</v>
      </c>
      <c r="R91" s="9">
        <f t="shared" si="27"/>
        <v>-758.90377462054175</v>
      </c>
      <c r="S91" s="9">
        <f>S$86-($B$84/$E91)</f>
        <v>-558.90377462054175</v>
      </c>
      <c r="T91" s="9">
        <f t="shared" si="27"/>
        <v>-358.90377462054175</v>
      </c>
      <c r="U91" s="9">
        <f t="shared" si="27"/>
        <v>-158.90377462054175</v>
      </c>
      <c r="V91" s="9">
        <f t="shared" si="27"/>
        <v>41.096225379458247</v>
      </c>
      <c r="W91" s="9">
        <f t="shared" si="27"/>
        <v>241.09622537945825</v>
      </c>
      <c r="X91" s="9">
        <f t="shared" si="27"/>
        <v>441.09622537945825</v>
      </c>
      <c r="Y91" s="9">
        <f t="shared" si="27"/>
        <v>641.09622537945825</v>
      </c>
      <c r="Z91" s="9">
        <f t="shared" si="27"/>
        <v>841.09622537945825</v>
      </c>
    </row>
    <row r="92" spans="1:26" ht="13.5" customHeight="1" x14ac:dyDescent="0.25">
      <c r="A92" s="42" t="s">
        <v>28</v>
      </c>
      <c r="B92" s="55">
        <f>B90-B91</f>
        <v>3368</v>
      </c>
      <c r="C92" s="46"/>
    </row>
  </sheetData>
  <sheetProtection selectLockedCells="1"/>
  <mergeCells count="60">
    <mergeCell ref="A83:B83"/>
    <mergeCell ref="D17:N17"/>
    <mergeCell ref="P17:Z17"/>
    <mergeCell ref="D19:E19"/>
    <mergeCell ref="P19:Q19"/>
    <mergeCell ref="D20:E20"/>
    <mergeCell ref="P20:Q20"/>
    <mergeCell ref="D21:D25"/>
    <mergeCell ref="P21:P25"/>
    <mergeCell ref="D30:N30"/>
    <mergeCell ref="P30:Z30"/>
    <mergeCell ref="D32:E32"/>
    <mergeCell ref="P32:Q32"/>
    <mergeCell ref="D33:E33"/>
    <mergeCell ref="P33:Q33"/>
    <mergeCell ref="D34:D38"/>
    <mergeCell ref="P34:P38"/>
    <mergeCell ref="D43:N43"/>
    <mergeCell ref="P43:Z43"/>
    <mergeCell ref="D45:E45"/>
    <mergeCell ref="P45:Q45"/>
    <mergeCell ref="D46:E46"/>
    <mergeCell ref="P46:Q46"/>
    <mergeCell ref="D47:D51"/>
    <mergeCell ref="P47:P51"/>
    <mergeCell ref="D57:N57"/>
    <mergeCell ref="P57:Z57"/>
    <mergeCell ref="D59:E59"/>
    <mergeCell ref="P59:Q59"/>
    <mergeCell ref="D60:E60"/>
    <mergeCell ref="P60:Q60"/>
    <mergeCell ref="D61:D65"/>
    <mergeCell ref="P61:P65"/>
    <mergeCell ref="D70:N70"/>
    <mergeCell ref="P70:Z70"/>
    <mergeCell ref="D72:E72"/>
    <mergeCell ref="P72:Q72"/>
    <mergeCell ref="D73:E73"/>
    <mergeCell ref="P73:Q73"/>
    <mergeCell ref="D74:D78"/>
    <mergeCell ref="P74:P78"/>
    <mergeCell ref="D87:D91"/>
    <mergeCell ref="P87:P91"/>
    <mergeCell ref="D83:N83"/>
    <mergeCell ref="P83:Z83"/>
    <mergeCell ref="D85:E85"/>
    <mergeCell ref="P85:Q85"/>
    <mergeCell ref="D86:E86"/>
    <mergeCell ref="P86:Q86"/>
    <mergeCell ref="A82:B82"/>
    <mergeCell ref="A16:B16"/>
    <mergeCell ref="A29:B29"/>
    <mergeCell ref="A42:B42"/>
    <mergeCell ref="A56:B56"/>
    <mergeCell ref="A69:B69"/>
    <mergeCell ref="A17:B17"/>
    <mergeCell ref="A30:B30"/>
    <mergeCell ref="A43:B43"/>
    <mergeCell ref="A57:B57"/>
    <mergeCell ref="A70:B70"/>
  </mergeCells>
  <conditionalFormatting sqref="F21:N25">
    <cfRule type="cellIs" dxfId="47" priority="59" stopIfTrue="1" operator="lessThan">
      <formula>1</formula>
    </cfRule>
    <cfRule type="cellIs" dxfId="46" priority="58" stopIfTrue="1" operator="greaterThan">
      <formula>1</formula>
    </cfRule>
    <cfRule type="cellIs" dxfId="45" priority="57" stopIfTrue="1" operator="lessThan">
      <formula>1</formula>
    </cfRule>
    <cfRule type="cellIs" dxfId="44" priority="60" stopIfTrue="1" operator="greaterThan">
      <formula>1</formula>
    </cfRule>
  </conditionalFormatting>
  <conditionalFormatting sqref="F34:N38">
    <cfRule type="cellIs" dxfId="43" priority="33" stopIfTrue="1" operator="lessThan">
      <formula>1</formula>
    </cfRule>
    <cfRule type="cellIs" dxfId="42" priority="34" stopIfTrue="1" operator="greaterThan">
      <formula>1</formula>
    </cfRule>
    <cfRule type="cellIs" dxfId="41" priority="35" stopIfTrue="1" operator="lessThan">
      <formula>1</formula>
    </cfRule>
    <cfRule type="cellIs" dxfId="40" priority="36" stopIfTrue="1" operator="greaterThan">
      <formula>1</formula>
    </cfRule>
  </conditionalFormatting>
  <conditionalFormatting sqref="F47:N51">
    <cfRule type="cellIs" dxfId="39" priority="25" stopIfTrue="1" operator="lessThan">
      <formula>1</formula>
    </cfRule>
    <cfRule type="cellIs" dxfId="38" priority="26" stopIfTrue="1" operator="greaterThan">
      <formula>1</formula>
    </cfRule>
    <cfRule type="cellIs" dxfId="37" priority="27" stopIfTrue="1" operator="lessThan">
      <formula>1</formula>
    </cfRule>
    <cfRule type="cellIs" dxfId="36" priority="28" stopIfTrue="1" operator="greaterThan">
      <formula>1</formula>
    </cfRule>
  </conditionalFormatting>
  <conditionalFormatting sqref="F61:N65">
    <cfRule type="cellIs" dxfId="35" priority="44" stopIfTrue="1" operator="greaterThan">
      <formula>1</formula>
    </cfRule>
    <cfRule type="cellIs" dxfId="34" priority="42" stopIfTrue="1" operator="greaterThan">
      <formula>1</formula>
    </cfRule>
    <cfRule type="cellIs" dxfId="33" priority="43" stopIfTrue="1" operator="lessThan">
      <formula>1</formula>
    </cfRule>
    <cfRule type="cellIs" dxfId="32" priority="41" stopIfTrue="1" operator="lessThan">
      <formula>1</formula>
    </cfRule>
  </conditionalFormatting>
  <conditionalFormatting sqref="F74:N78">
    <cfRule type="cellIs" dxfId="31" priority="54" stopIfTrue="1" operator="greaterThan">
      <formula>1</formula>
    </cfRule>
    <cfRule type="cellIs" dxfId="30" priority="56" stopIfTrue="1" operator="greaterThan">
      <formula>1</formula>
    </cfRule>
    <cfRule type="cellIs" dxfId="29" priority="55" stopIfTrue="1" operator="lessThan">
      <formula>1</formula>
    </cfRule>
    <cfRule type="cellIs" dxfId="28" priority="53" stopIfTrue="1" operator="lessThan">
      <formula>1</formula>
    </cfRule>
  </conditionalFormatting>
  <conditionalFormatting sqref="F87:N91">
    <cfRule type="cellIs" dxfId="27" priority="11" stopIfTrue="1" operator="lessThan">
      <formula>1</formula>
    </cfRule>
    <cfRule type="cellIs" dxfId="26" priority="9" stopIfTrue="1" operator="lessThan">
      <formula>1</formula>
    </cfRule>
    <cfRule type="cellIs" dxfId="25" priority="10" stopIfTrue="1" operator="greaterThan">
      <formula>1</formula>
    </cfRule>
    <cfRule type="cellIs" dxfId="24" priority="12" stopIfTrue="1" operator="greaterThan">
      <formula>1</formula>
    </cfRule>
  </conditionalFormatting>
  <conditionalFormatting sqref="R21:Z25">
    <cfRule type="cellIs" dxfId="23" priority="49" stopIfTrue="1" operator="lessThan">
      <formula>1</formula>
    </cfRule>
    <cfRule type="cellIs" dxfId="22" priority="50" stopIfTrue="1" operator="greaterThan">
      <formula>1</formula>
    </cfRule>
    <cfRule type="cellIs" dxfId="21" priority="51" stopIfTrue="1" operator="lessThan">
      <formula>1</formula>
    </cfRule>
    <cfRule type="cellIs" dxfId="20" priority="52" stopIfTrue="1" operator="greaterThan">
      <formula>1</formula>
    </cfRule>
  </conditionalFormatting>
  <conditionalFormatting sqref="R34:Z38">
    <cfRule type="cellIs" dxfId="19" priority="32" stopIfTrue="1" operator="greaterThan">
      <formula>1</formula>
    </cfRule>
    <cfRule type="cellIs" dxfId="18" priority="30" stopIfTrue="1" operator="greaterThan">
      <formula>1</formula>
    </cfRule>
    <cfRule type="cellIs" dxfId="17" priority="29" stopIfTrue="1" operator="lessThan">
      <formula>1</formula>
    </cfRule>
    <cfRule type="cellIs" dxfId="16" priority="31" stopIfTrue="1" operator="lessThan">
      <formula>1</formula>
    </cfRule>
  </conditionalFormatting>
  <conditionalFormatting sqref="R47:Z51">
    <cfRule type="cellIs" dxfId="15" priority="24" stopIfTrue="1" operator="greaterThan">
      <formula>1</formula>
    </cfRule>
    <cfRule type="cellIs" dxfId="14" priority="23" stopIfTrue="1" operator="lessThan">
      <formula>1</formula>
    </cfRule>
    <cfRule type="cellIs" dxfId="13" priority="22" stopIfTrue="1" operator="greaterThan">
      <formula>1</formula>
    </cfRule>
    <cfRule type="cellIs" dxfId="12" priority="21" stopIfTrue="1" operator="lessThan">
      <formula>1</formula>
    </cfRule>
  </conditionalFormatting>
  <conditionalFormatting sqref="R61:Z65">
    <cfRule type="cellIs" dxfId="11" priority="38" stopIfTrue="1" operator="greaterThan">
      <formula>1</formula>
    </cfRule>
    <cfRule type="cellIs" dxfId="10" priority="39" stopIfTrue="1" operator="lessThan">
      <formula>1</formula>
    </cfRule>
    <cfRule type="cellIs" dxfId="9" priority="40" stopIfTrue="1" operator="greaterThan">
      <formula>1</formula>
    </cfRule>
    <cfRule type="cellIs" dxfId="8" priority="37" stopIfTrue="1" operator="lessThan">
      <formula>1</formula>
    </cfRule>
  </conditionalFormatting>
  <conditionalFormatting sqref="R74:Z78">
    <cfRule type="cellIs" dxfId="7" priority="45" stopIfTrue="1" operator="lessThan">
      <formula>1</formula>
    </cfRule>
    <cfRule type="cellIs" dxfId="6" priority="46" stopIfTrue="1" operator="greaterThan">
      <formula>1</formula>
    </cfRule>
    <cfRule type="cellIs" dxfId="5" priority="47" stopIfTrue="1" operator="lessThan">
      <formula>1</formula>
    </cfRule>
    <cfRule type="cellIs" dxfId="4" priority="48" stopIfTrue="1" operator="greaterThan">
      <formula>1</formula>
    </cfRule>
  </conditionalFormatting>
  <conditionalFormatting sqref="R87:Z91">
    <cfRule type="cellIs" dxfId="3" priority="2" stopIfTrue="1" operator="greaterThan">
      <formula>1</formula>
    </cfRule>
    <cfRule type="cellIs" dxfId="2" priority="1" stopIfTrue="1" operator="lessThan">
      <formula>1</formula>
    </cfRule>
    <cfRule type="cellIs" dxfId="1" priority="4" stopIfTrue="1" operator="greaterThan">
      <formula>1</formula>
    </cfRule>
    <cfRule type="cellIs" dxfId="0" priority="3" stopIfTrue="1" operator="lessThan">
      <formula>1</formula>
    </cfRule>
  </conditionalFormatting>
  <dataValidations count="6">
    <dataValidation type="list" allowBlank="1" showInputMessage="1" showErrorMessage="1" sqref="B88" xr:uid="{00000000-0002-0000-0000-000000000000}">
      <formula1>Sorgopbrengspeil</formula1>
    </dataValidation>
    <dataValidation type="list" allowBlank="1" showInputMessage="1" showErrorMessage="1" sqref="B75" xr:uid="{00000000-0002-0000-0000-000001000000}">
      <formula1>Sojaopbrengspeil</formula1>
    </dataValidation>
    <dataValidation type="list" allowBlank="1" showInputMessage="1" showErrorMessage="1" sqref="B62" xr:uid="{00000000-0002-0000-0000-000002000000}">
      <formula1>Sonopbrengspeil</formula1>
    </dataValidation>
    <dataValidation type="list" allowBlank="1" showInputMessage="1" showErrorMessage="1" sqref="B48" xr:uid="{00000000-0002-0000-0000-000003000000}">
      <formula1>BTopbrengspeil</formula1>
    </dataValidation>
    <dataValidation type="list" allowBlank="1" showInputMessage="1" showErrorMessage="1" sqref="B35" xr:uid="{00000000-0002-0000-0000-000004000000}">
      <formula1>RRHpbrengspeil</formula1>
    </dataValidation>
    <dataValidation type="list" allowBlank="1" showInputMessage="1" showErrorMessage="1" sqref="B22" xr:uid="{00000000-0002-0000-0000-000005000000}">
      <formula1>RRLopbrengspeil</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6"/>
  <sheetViews>
    <sheetView zoomScale="70" zoomScaleNormal="70" zoomScaleSheetLayoutView="90" workbookViewId="0">
      <selection activeCell="R24" sqref="R24"/>
    </sheetView>
  </sheetViews>
  <sheetFormatPr defaultColWidth="9.109375" defaultRowHeight="14.4" x14ac:dyDescent="0.3"/>
  <cols>
    <col min="1" max="1" width="41.6640625" style="77" customWidth="1"/>
    <col min="2" max="2" width="18.33203125" style="77" customWidth="1"/>
    <col min="3" max="3" width="42" style="77" customWidth="1"/>
    <col min="4" max="4" width="14.44140625" style="77" customWidth="1"/>
    <col min="5" max="5" width="14" style="77" customWidth="1"/>
    <col min="6" max="8" width="11.88671875" style="77" customWidth="1"/>
    <col min="9" max="9" width="12.88671875" style="77" bestFit="1" customWidth="1"/>
    <col min="10" max="10" width="12.44140625" style="77" bestFit="1" customWidth="1"/>
    <col min="11" max="15" width="12.6640625" style="77" hidden="1" customWidth="1"/>
    <col min="16" max="26" width="12.6640625" style="77" customWidth="1"/>
    <col min="27" max="16384" width="9.109375" style="77"/>
  </cols>
  <sheetData>
    <row r="1" spans="1:15" ht="31.5" customHeight="1" thickBot="1" x14ac:dyDescent="0.35">
      <c r="A1" s="386" t="s">
        <v>41</v>
      </c>
      <c r="B1" s="387"/>
      <c r="C1" s="387"/>
      <c r="D1" s="387"/>
      <c r="E1" s="388" t="s">
        <v>42</v>
      </c>
      <c r="F1" s="388"/>
      <c r="G1" s="388"/>
      <c r="H1" s="75"/>
      <c r="I1" s="76"/>
    </row>
    <row r="2" spans="1:15" ht="15" thickBot="1" x14ac:dyDescent="0.35">
      <c r="A2" s="78"/>
      <c r="B2" s="79"/>
      <c r="C2" s="80"/>
      <c r="D2" s="80"/>
      <c r="E2" s="80"/>
      <c r="F2" s="80"/>
      <c r="G2" s="80"/>
      <c r="H2" s="80"/>
      <c r="I2" s="81"/>
    </row>
    <row r="3" spans="1:15" ht="36.6" customHeight="1" thickBot="1" x14ac:dyDescent="0.35">
      <c r="A3" s="394" t="s">
        <v>43</v>
      </c>
      <c r="B3" s="395"/>
      <c r="C3" s="395"/>
      <c r="D3" s="82"/>
      <c r="E3" s="148">
        <f>'Pryse + Sensatiwiteitsanali'!B26</f>
        <v>3903.84</v>
      </c>
      <c r="F3" s="82" t="s">
        <v>44</v>
      </c>
      <c r="G3" s="84"/>
      <c r="H3" s="84"/>
      <c r="I3" s="85"/>
    </row>
    <row r="4" spans="1:15" ht="15" thickBot="1" x14ac:dyDescent="0.35">
      <c r="A4" s="86"/>
      <c r="B4" s="87"/>
      <c r="C4" s="87"/>
      <c r="D4" s="88"/>
      <c r="E4" s="89"/>
      <c r="F4" s="90"/>
      <c r="G4" s="87"/>
      <c r="H4" s="91"/>
      <c r="I4" s="91"/>
    </row>
    <row r="5" spans="1:15" ht="15" thickBot="1" x14ac:dyDescent="0.35">
      <c r="A5" s="92" t="s">
        <v>45</v>
      </c>
      <c r="B5" s="87"/>
      <c r="C5" s="87"/>
      <c r="D5" s="93">
        <v>3</v>
      </c>
      <c r="E5" s="93">
        <v>3.5</v>
      </c>
      <c r="F5" s="93">
        <v>4</v>
      </c>
      <c r="G5" s="93">
        <v>4.5</v>
      </c>
      <c r="H5" s="93">
        <v>5</v>
      </c>
      <c r="I5" s="93">
        <v>5.5</v>
      </c>
      <c r="M5" s="94"/>
      <c r="N5" s="94"/>
    </row>
    <row r="6" spans="1:15" ht="15" thickBot="1" x14ac:dyDescent="0.35">
      <c r="A6" s="95" t="s">
        <v>46</v>
      </c>
      <c r="B6" s="96"/>
      <c r="C6" s="97"/>
      <c r="D6" s="129">
        <v>11657.52</v>
      </c>
      <c r="E6" s="129">
        <v>13600.44</v>
      </c>
      <c r="F6" s="129">
        <v>15543.36</v>
      </c>
      <c r="G6" s="129">
        <v>17486.28</v>
      </c>
      <c r="H6" s="129">
        <v>19429.2</v>
      </c>
      <c r="I6" s="129">
        <v>21372.120000000003</v>
      </c>
      <c r="M6" s="99"/>
      <c r="N6" s="99"/>
    </row>
    <row r="7" spans="1:15" ht="15" thickBot="1" x14ac:dyDescent="0.35">
      <c r="A7" s="100"/>
      <c r="B7" s="101"/>
      <c r="C7" s="101"/>
      <c r="D7" s="130"/>
      <c r="E7" s="130"/>
      <c r="F7" s="130"/>
      <c r="G7" s="130"/>
      <c r="H7" s="130"/>
      <c r="I7" s="130"/>
      <c r="M7" s="376" t="s">
        <v>47</v>
      </c>
      <c r="N7" s="376"/>
      <c r="O7" s="376"/>
    </row>
    <row r="8" spans="1:15" ht="15" thickBot="1" x14ac:dyDescent="0.35">
      <c r="A8" s="396" t="s">
        <v>48</v>
      </c>
      <c r="B8" s="397"/>
      <c r="C8" s="398"/>
      <c r="D8" s="131"/>
      <c r="E8" s="131"/>
      <c r="F8" s="131"/>
      <c r="G8" s="131"/>
      <c r="H8" s="131"/>
      <c r="I8" s="131"/>
      <c r="M8" s="68" t="s">
        <v>49</v>
      </c>
      <c r="N8" s="68" t="s">
        <v>50</v>
      </c>
      <c r="O8" s="68" t="s">
        <v>51</v>
      </c>
    </row>
    <row r="9" spans="1:15" x14ac:dyDescent="0.3">
      <c r="A9" s="104" t="s">
        <v>52</v>
      </c>
      <c r="B9" s="105"/>
      <c r="C9" s="105"/>
      <c r="D9" s="132">
        <v>1444.3623</v>
      </c>
      <c r="E9" s="132">
        <v>1444.3623</v>
      </c>
      <c r="F9" s="132">
        <v>1604.847</v>
      </c>
      <c r="G9" s="132">
        <v>1925.8164000000002</v>
      </c>
      <c r="H9" s="132">
        <v>1965.9375750000002</v>
      </c>
      <c r="I9" s="132">
        <v>2086.3011000000001</v>
      </c>
      <c r="K9" s="106"/>
      <c r="M9" s="69">
        <f>D5</f>
        <v>3</v>
      </c>
      <c r="N9" s="69">
        <f>D25</f>
        <v>14637.831490941842</v>
      </c>
      <c r="O9" s="69">
        <f>D27</f>
        <v>7127.22</v>
      </c>
    </row>
    <row r="10" spans="1:15" x14ac:dyDescent="0.3">
      <c r="A10" s="107" t="s">
        <v>53</v>
      </c>
      <c r="B10" s="108"/>
      <c r="C10" s="108"/>
      <c r="D10" s="133">
        <v>3822.58</v>
      </c>
      <c r="E10" s="133">
        <v>4443.01</v>
      </c>
      <c r="F10" s="133">
        <v>5063.4400000000005</v>
      </c>
      <c r="G10" s="133">
        <v>5683.87</v>
      </c>
      <c r="H10" s="133">
        <v>6304.3</v>
      </c>
      <c r="I10" s="133">
        <v>6924.73</v>
      </c>
      <c r="K10" s="106"/>
      <c r="M10" s="69">
        <f>E5</f>
        <v>3.5</v>
      </c>
      <c r="N10" s="69">
        <f>E25</f>
        <v>15483.209536374408</v>
      </c>
      <c r="O10" s="69">
        <f>E27</f>
        <v>7127.22</v>
      </c>
    </row>
    <row r="11" spans="1:15" x14ac:dyDescent="0.3">
      <c r="A11" s="107" t="s">
        <v>54</v>
      </c>
      <c r="B11" s="108"/>
      <c r="C11" s="108"/>
      <c r="D11" s="133">
        <v>800</v>
      </c>
      <c r="E11" s="133">
        <v>800</v>
      </c>
      <c r="F11" s="133">
        <v>800</v>
      </c>
      <c r="G11" s="133">
        <v>800</v>
      </c>
      <c r="H11" s="133">
        <v>800</v>
      </c>
      <c r="I11" s="133">
        <v>800</v>
      </c>
      <c r="K11" s="106"/>
      <c r="M11" s="69">
        <f>F5</f>
        <v>4</v>
      </c>
      <c r="N11" s="69">
        <f>F25</f>
        <v>16517.495967415569</v>
      </c>
      <c r="O11" s="69">
        <f>F27</f>
        <v>7127.22</v>
      </c>
    </row>
    <row r="12" spans="1:15" x14ac:dyDescent="0.3">
      <c r="A12" s="107" t="s">
        <v>55</v>
      </c>
      <c r="B12" s="108"/>
      <c r="C12" s="108"/>
      <c r="D12" s="133">
        <v>2241.1630439999999</v>
      </c>
      <c r="E12" s="133">
        <v>2279.7580440000002</v>
      </c>
      <c r="F12" s="133">
        <v>2318.353044</v>
      </c>
      <c r="G12" s="133">
        <v>2356.9480440000002</v>
      </c>
      <c r="H12" s="133">
        <v>2395.543044</v>
      </c>
      <c r="I12" s="133">
        <v>2434.1380440000003</v>
      </c>
      <c r="K12" s="106"/>
      <c r="M12" s="69">
        <f>G5</f>
        <v>4.5</v>
      </c>
      <c r="N12" s="69">
        <f>G25</f>
        <v>17740.690784065326</v>
      </c>
      <c r="O12" s="69">
        <f>G27</f>
        <v>7127.22</v>
      </c>
    </row>
    <row r="13" spans="1:15" x14ac:dyDescent="0.3">
      <c r="A13" s="107" t="s">
        <v>56</v>
      </c>
      <c r="B13" s="108"/>
      <c r="C13" s="108"/>
      <c r="D13" s="133">
        <v>1334.2554</v>
      </c>
      <c r="E13" s="133">
        <v>1339.0087333333331</v>
      </c>
      <c r="F13" s="133">
        <v>1343.7620666666667</v>
      </c>
      <c r="G13" s="133">
        <v>1348.5153999999998</v>
      </c>
      <c r="H13" s="133">
        <v>1353.2687333333333</v>
      </c>
      <c r="I13" s="133">
        <v>1358.0220666666664</v>
      </c>
      <c r="K13" s="106"/>
      <c r="M13" s="69">
        <f>H5</f>
        <v>5</v>
      </c>
      <c r="N13" s="69">
        <f>H25</f>
        <v>18633.295925900042</v>
      </c>
      <c r="O13" s="69">
        <f>H27</f>
        <v>7127.22</v>
      </c>
    </row>
    <row r="14" spans="1:15" x14ac:dyDescent="0.3">
      <c r="A14" s="107" t="s">
        <v>57</v>
      </c>
      <c r="B14" s="108"/>
      <c r="C14" s="108"/>
      <c r="D14" s="133">
        <v>1372.308</v>
      </c>
      <c r="E14" s="133">
        <v>1372.308</v>
      </c>
      <c r="F14" s="133">
        <v>1372.308</v>
      </c>
      <c r="G14" s="133">
        <v>1372.308</v>
      </c>
      <c r="H14" s="133">
        <v>1372.308</v>
      </c>
      <c r="I14" s="133">
        <v>1372.308</v>
      </c>
      <c r="K14" s="106"/>
      <c r="M14" s="69">
        <f>I5</f>
        <v>5.5</v>
      </c>
      <c r="N14" s="69">
        <f>I25</f>
        <v>19620.355260539051</v>
      </c>
      <c r="O14" s="69">
        <f>I27</f>
        <v>7127.22</v>
      </c>
    </row>
    <row r="15" spans="1:15" x14ac:dyDescent="0.3">
      <c r="A15" s="107" t="s">
        <v>58</v>
      </c>
      <c r="B15" s="108"/>
      <c r="C15" s="108"/>
      <c r="D15" s="133">
        <v>594.303</v>
      </c>
      <c r="E15" s="133">
        <v>594.303</v>
      </c>
      <c r="F15" s="133">
        <v>594.303</v>
      </c>
      <c r="G15" s="133">
        <v>594.303</v>
      </c>
      <c r="H15" s="133">
        <v>594.303</v>
      </c>
      <c r="I15" s="133">
        <v>594.303</v>
      </c>
      <c r="K15" s="106"/>
      <c r="M15" s="109"/>
      <c r="N15" s="109"/>
    </row>
    <row r="16" spans="1:15" x14ac:dyDescent="0.3">
      <c r="A16" s="107" t="s">
        <v>59</v>
      </c>
      <c r="B16" s="108"/>
      <c r="C16" s="108"/>
      <c r="D16" s="133"/>
      <c r="E16" s="133"/>
      <c r="F16" s="133"/>
      <c r="G16" s="133"/>
      <c r="H16" s="133"/>
      <c r="I16" s="133"/>
      <c r="K16" s="106"/>
      <c r="M16" s="109"/>
      <c r="N16" s="109"/>
    </row>
    <row r="17" spans="1:14" x14ac:dyDescent="0.3">
      <c r="A17" s="107" t="s">
        <v>60</v>
      </c>
      <c r="B17" s="108"/>
      <c r="C17" s="108"/>
      <c r="D17" s="133">
        <v>1357.6273458863068</v>
      </c>
      <c r="E17" s="133">
        <v>1436.0343389440825</v>
      </c>
      <c r="F17" s="133">
        <v>1531.9621779227973</v>
      </c>
      <c r="G17" s="133">
        <v>1645.4108628224517</v>
      </c>
      <c r="H17" s="133">
        <v>1728.1980673604617</v>
      </c>
      <c r="I17" s="133">
        <v>1819.7456948589424</v>
      </c>
      <c r="K17" s="106"/>
      <c r="M17" s="109"/>
      <c r="N17" s="109"/>
    </row>
    <row r="18" spans="1:14" x14ac:dyDescent="0.3">
      <c r="A18" s="107" t="s">
        <v>61</v>
      </c>
      <c r="B18" s="108"/>
      <c r="C18" s="108"/>
      <c r="D18" s="133"/>
      <c r="E18" s="133"/>
      <c r="F18" s="133"/>
      <c r="G18" s="133"/>
      <c r="H18" s="133"/>
      <c r="I18" s="133"/>
      <c r="K18" s="106"/>
      <c r="M18" s="109"/>
      <c r="N18" s="109"/>
    </row>
    <row r="19" spans="1:14" x14ac:dyDescent="0.3">
      <c r="A19" s="107" t="s">
        <v>62</v>
      </c>
      <c r="B19" s="108"/>
      <c r="C19" s="108"/>
      <c r="D19" s="133">
        <v>326.41056000000003</v>
      </c>
      <c r="E19" s="133">
        <v>380.81232</v>
      </c>
      <c r="F19" s="133">
        <v>435.21408000000002</v>
      </c>
      <c r="G19" s="133">
        <v>489.61583999999999</v>
      </c>
      <c r="H19" s="133">
        <v>544.01760000000002</v>
      </c>
      <c r="I19" s="133">
        <v>598.4193600000001</v>
      </c>
      <c r="K19" s="106"/>
      <c r="M19" s="109"/>
      <c r="N19" s="109"/>
    </row>
    <row r="20" spans="1:14" x14ac:dyDescent="0.3">
      <c r="A20" s="107" t="s">
        <v>63</v>
      </c>
      <c r="B20" s="108"/>
      <c r="C20" s="108"/>
      <c r="D20" s="133">
        <v>200</v>
      </c>
      <c r="E20" s="133">
        <v>200</v>
      </c>
      <c r="F20" s="133">
        <v>200</v>
      </c>
      <c r="G20" s="133">
        <v>200</v>
      </c>
      <c r="H20" s="133">
        <v>200</v>
      </c>
      <c r="I20" s="133">
        <v>200</v>
      </c>
      <c r="K20" s="106"/>
      <c r="M20" s="109"/>
      <c r="N20" s="109"/>
    </row>
    <row r="21" spans="1:14" x14ac:dyDescent="0.3">
      <c r="A21" s="107" t="s">
        <v>64</v>
      </c>
      <c r="B21" s="108"/>
      <c r="C21" s="108"/>
      <c r="D21" s="133">
        <v>300</v>
      </c>
      <c r="E21" s="133">
        <v>300</v>
      </c>
      <c r="F21" s="133">
        <v>300</v>
      </c>
      <c r="G21" s="133">
        <v>300</v>
      </c>
      <c r="H21" s="133">
        <v>300</v>
      </c>
      <c r="I21" s="133">
        <v>300</v>
      </c>
      <c r="K21" s="106"/>
      <c r="M21" s="109"/>
      <c r="N21" s="109"/>
    </row>
    <row r="22" spans="1:14" x14ac:dyDescent="0.3">
      <c r="A22" s="107" t="s">
        <v>65</v>
      </c>
      <c r="B22" s="108"/>
      <c r="C22" s="108"/>
      <c r="D22" s="133"/>
      <c r="E22" s="133"/>
      <c r="F22" s="133"/>
      <c r="G22" s="133"/>
      <c r="H22" s="133"/>
      <c r="I22" s="133"/>
      <c r="K22" s="106"/>
      <c r="M22" s="109"/>
      <c r="N22" s="109"/>
    </row>
    <row r="23" spans="1:14" x14ac:dyDescent="0.3">
      <c r="A23" s="107" t="s">
        <v>66</v>
      </c>
      <c r="B23" s="108"/>
      <c r="C23" s="108"/>
      <c r="D23" s="133"/>
      <c r="E23" s="133"/>
      <c r="F23" s="133"/>
      <c r="G23" s="133"/>
      <c r="H23" s="133"/>
      <c r="I23" s="133"/>
      <c r="K23" s="106"/>
      <c r="M23" s="109"/>
      <c r="N23" s="109"/>
    </row>
    <row r="24" spans="1:14" ht="15" thickBot="1" x14ac:dyDescent="0.35">
      <c r="A24" s="107" t="s">
        <v>67</v>
      </c>
      <c r="B24" s="108"/>
      <c r="C24" s="108"/>
      <c r="D24" s="133">
        <v>844.82184105553608</v>
      </c>
      <c r="E24" s="133">
        <v>893.61280009699169</v>
      </c>
      <c r="F24" s="133">
        <v>953.30659882610462</v>
      </c>
      <c r="G24" s="133">
        <v>1023.9032372428752</v>
      </c>
      <c r="H24" s="133">
        <v>1075.4199062062451</v>
      </c>
      <c r="I24" s="133">
        <v>1132.3879950134435</v>
      </c>
      <c r="K24" s="106"/>
      <c r="M24" s="109"/>
      <c r="N24" s="109"/>
    </row>
    <row r="25" spans="1:14" ht="15" thickBot="1" x14ac:dyDescent="0.35">
      <c r="A25" s="373" t="s">
        <v>68</v>
      </c>
      <c r="B25" s="374"/>
      <c r="C25" s="375"/>
      <c r="D25" s="134">
        <f>SUM(D9:D24)</f>
        <v>14637.831490941842</v>
      </c>
      <c r="E25" s="134">
        <f t="shared" ref="E25:I25" si="0">SUM(E9:E24)</f>
        <v>15483.209536374408</v>
      </c>
      <c r="F25" s="134">
        <f t="shared" si="0"/>
        <v>16517.495967415569</v>
      </c>
      <c r="G25" s="134">
        <f t="shared" si="0"/>
        <v>17740.690784065326</v>
      </c>
      <c r="H25" s="134">
        <f t="shared" si="0"/>
        <v>18633.295925900042</v>
      </c>
      <c r="I25" s="134">
        <f t="shared" si="0"/>
        <v>19620.355260539051</v>
      </c>
      <c r="K25" s="106"/>
      <c r="M25" s="94"/>
      <c r="N25" s="94"/>
    </row>
    <row r="26" spans="1:14" ht="15" thickBot="1" x14ac:dyDescent="0.35">
      <c r="A26" s="111"/>
      <c r="B26" s="112"/>
      <c r="C26" s="112"/>
      <c r="D26" s="135"/>
      <c r="E26" s="135"/>
      <c r="F26" s="135"/>
      <c r="G26" s="135"/>
      <c r="H26" s="135"/>
      <c r="I26" s="135"/>
      <c r="K26" s="106"/>
    </row>
    <row r="27" spans="1:14" ht="15" thickBot="1" x14ac:dyDescent="0.35">
      <c r="A27" s="370" t="s">
        <v>69</v>
      </c>
      <c r="B27" s="371"/>
      <c r="C27" s="372"/>
      <c r="D27" s="136">
        <v>7127.22</v>
      </c>
      <c r="E27" s="137">
        <v>7127.22</v>
      </c>
      <c r="F27" s="137">
        <v>7127.22</v>
      </c>
      <c r="G27" s="137">
        <v>7127.22</v>
      </c>
      <c r="H27" s="137">
        <v>7127.22</v>
      </c>
      <c r="I27" s="137">
        <v>7127.22</v>
      </c>
      <c r="K27" s="106"/>
    </row>
    <row r="28" spans="1:14" ht="15" thickBot="1" x14ac:dyDescent="0.35">
      <c r="A28" s="111"/>
      <c r="B28" s="112"/>
      <c r="C28" s="112"/>
      <c r="D28" s="135"/>
      <c r="E28" s="135"/>
      <c r="F28" s="135"/>
      <c r="G28" s="135"/>
      <c r="H28" s="135"/>
      <c r="I28" s="135"/>
      <c r="K28" s="106"/>
    </row>
    <row r="29" spans="1:14" ht="15" thickBot="1" x14ac:dyDescent="0.35">
      <c r="A29" s="373" t="s">
        <v>70</v>
      </c>
      <c r="B29" s="374"/>
      <c r="C29" s="375"/>
      <c r="D29" s="134">
        <f>D25+D27</f>
        <v>21765.051490941842</v>
      </c>
      <c r="E29" s="134">
        <f t="shared" ref="E29:I29" si="1">E25+E27</f>
        <v>22610.42953637441</v>
      </c>
      <c r="F29" s="134">
        <f t="shared" si="1"/>
        <v>23644.71596741557</v>
      </c>
      <c r="G29" s="134">
        <f t="shared" si="1"/>
        <v>24867.910784065327</v>
      </c>
      <c r="H29" s="134">
        <f t="shared" si="1"/>
        <v>25760.515925900043</v>
      </c>
      <c r="I29" s="134">
        <f t="shared" si="1"/>
        <v>26747.575260539052</v>
      </c>
      <c r="K29" s="106"/>
    </row>
    <row r="30" spans="1:14" ht="15" thickBot="1" x14ac:dyDescent="0.35">
      <c r="A30" s="114"/>
      <c r="B30" s="115"/>
      <c r="C30" s="115"/>
      <c r="D30" s="138"/>
      <c r="E30" s="138"/>
      <c r="F30" s="138"/>
      <c r="G30" s="138"/>
      <c r="H30" s="138"/>
      <c r="I30" s="138"/>
      <c r="K30" s="106"/>
    </row>
    <row r="31" spans="1:14" ht="15" thickBot="1" x14ac:dyDescent="0.35">
      <c r="A31" s="373" t="s">
        <v>71</v>
      </c>
      <c r="B31" s="389"/>
      <c r="C31" s="390"/>
      <c r="D31" s="134">
        <f>D29/D5</f>
        <v>7255.0171636472805</v>
      </c>
      <c r="E31" s="134">
        <f t="shared" ref="E31:I31" si="2">E29/E5</f>
        <v>6460.1227246784028</v>
      </c>
      <c r="F31" s="134">
        <f t="shared" si="2"/>
        <v>5911.1789918538925</v>
      </c>
      <c r="G31" s="134">
        <f t="shared" si="2"/>
        <v>5526.2023964589616</v>
      </c>
      <c r="H31" s="134">
        <f t="shared" si="2"/>
        <v>5152.1031851800089</v>
      </c>
      <c r="I31" s="134">
        <f t="shared" si="2"/>
        <v>4863.1955019161915</v>
      </c>
      <c r="K31" s="106"/>
    </row>
    <row r="32" spans="1:14" ht="15" thickBot="1" x14ac:dyDescent="0.35">
      <c r="A32" s="100"/>
      <c r="B32" s="101"/>
      <c r="C32" s="101"/>
      <c r="D32" s="138"/>
      <c r="E32" s="138"/>
      <c r="F32" s="138"/>
      <c r="G32" s="138"/>
      <c r="H32" s="138"/>
      <c r="I32" s="138"/>
      <c r="K32" s="106"/>
    </row>
    <row r="33" spans="1:11" ht="15" thickBot="1" x14ac:dyDescent="0.35">
      <c r="A33" s="117" t="s">
        <v>72</v>
      </c>
      <c r="B33" s="96"/>
      <c r="C33" s="96"/>
      <c r="D33" s="134">
        <f>'Pryse + Sensatiwiteitsanali'!$D$4</f>
        <v>408.16</v>
      </c>
      <c r="E33" s="134">
        <f>'Pryse + Sensatiwiteitsanali'!$D$4</f>
        <v>408.16</v>
      </c>
      <c r="F33" s="134">
        <f>'Pryse + Sensatiwiteitsanali'!$D$4</f>
        <v>408.16</v>
      </c>
      <c r="G33" s="134">
        <f>'Pryse + Sensatiwiteitsanali'!$D$4</f>
        <v>408.16</v>
      </c>
      <c r="H33" s="134">
        <f>'Pryse + Sensatiwiteitsanali'!$D$4</f>
        <v>408.16</v>
      </c>
      <c r="I33" s="134">
        <f>'Pryse + Sensatiwiteitsanali'!$D$4</f>
        <v>408.16</v>
      </c>
      <c r="K33" s="106"/>
    </row>
    <row r="34" spans="1:11" ht="15" thickBot="1" x14ac:dyDescent="0.35">
      <c r="A34" s="100"/>
      <c r="B34" s="101"/>
      <c r="C34" s="101"/>
      <c r="D34" s="138"/>
      <c r="E34" s="138"/>
      <c r="F34" s="138"/>
      <c r="G34" s="138"/>
      <c r="H34" s="138"/>
      <c r="I34" s="138"/>
      <c r="K34" s="106"/>
    </row>
    <row r="35" spans="1:11" ht="15" thickBot="1" x14ac:dyDescent="0.35">
      <c r="A35" s="391" t="s">
        <v>73</v>
      </c>
      <c r="B35" s="392"/>
      <c r="C35" s="393"/>
      <c r="D35" s="139">
        <f>D31+D33</f>
        <v>7663.1771636472804</v>
      </c>
      <c r="E35" s="139">
        <f t="shared" ref="E35:I35" si="3">E31+E33</f>
        <v>6868.2827246784027</v>
      </c>
      <c r="F35" s="139">
        <f t="shared" si="3"/>
        <v>6319.3389918538924</v>
      </c>
      <c r="G35" s="139">
        <f t="shared" si="3"/>
        <v>5934.3623964589615</v>
      </c>
      <c r="H35" s="139">
        <f t="shared" si="3"/>
        <v>5560.2631851800088</v>
      </c>
      <c r="I35" s="139">
        <f t="shared" si="3"/>
        <v>5271.3555019161913</v>
      </c>
      <c r="K35" s="106"/>
    </row>
    <row r="36" spans="1:11" ht="15" thickBot="1" x14ac:dyDescent="0.35">
      <c r="A36" s="147" t="s">
        <v>74</v>
      </c>
      <c r="B36" s="119"/>
      <c r="C36" s="120"/>
      <c r="D36" s="139">
        <f>'Pryse + Sensatiwiteitsanali'!B4</f>
        <v>4312</v>
      </c>
      <c r="E36" s="139">
        <f>$D$36</f>
        <v>4312</v>
      </c>
      <c r="F36" s="139">
        <f>$D$36</f>
        <v>4312</v>
      </c>
      <c r="G36" s="139">
        <f>$D$36</f>
        <v>4312</v>
      </c>
      <c r="H36" s="139">
        <f>$D$36</f>
        <v>4312</v>
      </c>
      <c r="I36" s="139">
        <f>$D$36</f>
        <v>4312</v>
      </c>
      <c r="K36" s="106"/>
    </row>
    <row r="37" spans="1:11" ht="15" thickBot="1" x14ac:dyDescent="0.35">
      <c r="D37" s="140"/>
      <c r="E37" s="140"/>
      <c r="F37" s="140"/>
      <c r="G37" s="140"/>
      <c r="H37" s="140"/>
      <c r="I37" s="140"/>
    </row>
    <row r="38" spans="1:11" s="121" customFormat="1" x14ac:dyDescent="0.3">
      <c r="A38" s="399" t="s">
        <v>75</v>
      </c>
      <c r="B38" s="400"/>
      <c r="C38" s="400"/>
      <c r="D38" s="141">
        <f t="shared" ref="D38:I38" si="4">D6-D25</f>
        <v>-2980.3114909418418</v>
      </c>
      <c r="E38" s="142">
        <f t="shared" si="4"/>
        <v>-1882.7695363744078</v>
      </c>
      <c r="F38" s="141">
        <f t="shared" si="4"/>
        <v>-974.1359674155683</v>
      </c>
      <c r="G38" s="142">
        <f t="shared" si="4"/>
        <v>-254.41078406532688</v>
      </c>
      <c r="H38" s="141">
        <f t="shared" si="4"/>
        <v>795.90407409995896</v>
      </c>
      <c r="I38" s="143">
        <f t="shared" si="4"/>
        <v>1751.7647394609521</v>
      </c>
    </row>
    <row r="39" spans="1:11" s="121" customFormat="1" ht="15" thickBot="1" x14ac:dyDescent="0.35">
      <c r="A39" s="401" t="s">
        <v>76</v>
      </c>
      <c r="B39" s="402"/>
      <c r="C39" s="402"/>
      <c r="D39" s="144">
        <f t="shared" ref="D39:I39" si="5">D6-D29</f>
        <v>-10107.531490941841</v>
      </c>
      <c r="E39" s="145">
        <f t="shared" si="5"/>
        <v>-9009.989536374409</v>
      </c>
      <c r="F39" s="144">
        <f t="shared" si="5"/>
        <v>-8101.3559674155695</v>
      </c>
      <c r="G39" s="145">
        <f t="shared" si="5"/>
        <v>-7381.630784065328</v>
      </c>
      <c r="H39" s="144">
        <f t="shared" si="5"/>
        <v>-6331.3159259000422</v>
      </c>
      <c r="I39" s="146">
        <f t="shared" si="5"/>
        <v>-5375.455260539049</v>
      </c>
    </row>
    <row r="40" spans="1:11" x14ac:dyDescent="0.3">
      <c r="A40" s="72" t="s">
        <v>166</v>
      </c>
      <c r="B40" s="122"/>
      <c r="C40" s="122"/>
      <c r="D40" s="122"/>
      <c r="E40" s="122"/>
      <c r="F40" s="122"/>
      <c r="G40" s="122"/>
      <c r="H40" s="123"/>
      <c r="I40" s="124"/>
      <c r="J40" s="124"/>
    </row>
    <row r="41" spans="1:11" x14ac:dyDescent="0.3">
      <c r="A41" s="73" t="s">
        <v>77</v>
      </c>
      <c r="B41" s="125"/>
      <c r="C41" s="125"/>
      <c r="D41" s="125"/>
      <c r="E41" s="125"/>
      <c r="F41" s="125"/>
      <c r="G41" s="125"/>
      <c r="H41" s="126"/>
      <c r="I41" s="124"/>
      <c r="J41" s="124"/>
    </row>
    <row r="42" spans="1:11" ht="15" thickBot="1" x14ac:dyDescent="0.35">
      <c r="A42" s="74" t="s">
        <v>78</v>
      </c>
      <c r="B42" s="127"/>
      <c r="C42" s="127"/>
      <c r="D42" s="127"/>
      <c r="E42" s="127"/>
      <c r="F42" s="127"/>
      <c r="G42" s="127"/>
      <c r="H42" s="128"/>
      <c r="I42" s="124"/>
      <c r="J42" s="124"/>
    </row>
    <row r="43" spans="1:11" x14ac:dyDescent="0.3">
      <c r="A43" s="377" t="s">
        <v>79</v>
      </c>
      <c r="B43" s="378"/>
      <c r="C43" s="378"/>
      <c r="D43" s="378"/>
      <c r="E43" s="378"/>
      <c r="F43" s="378"/>
      <c r="G43" s="378"/>
      <c r="H43" s="379"/>
    </row>
    <row r="44" spans="1:11" x14ac:dyDescent="0.3">
      <c r="A44" s="380"/>
      <c r="B44" s="381"/>
      <c r="C44" s="381"/>
      <c r="D44" s="381"/>
      <c r="E44" s="381"/>
      <c r="F44" s="381"/>
      <c r="G44" s="381"/>
      <c r="H44" s="382"/>
    </row>
    <row r="45" spans="1:11" x14ac:dyDescent="0.3">
      <c r="A45" s="380"/>
      <c r="B45" s="381"/>
      <c r="C45" s="381"/>
      <c r="D45" s="381"/>
      <c r="E45" s="381"/>
      <c r="F45" s="381"/>
      <c r="G45" s="381"/>
      <c r="H45" s="382"/>
    </row>
    <row r="46" spans="1:11" ht="15" thickBot="1" x14ac:dyDescent="0.35">
      <c r="A46" s="383"/>
      <c r="B46" s="384"/>
      <c r="C46" s="384"/>
      <c r="D46" s="384"/>
      <c r="E46" s="384"/>
      <c r="F46" s="384"/>
      <c r="G46" s="384"/>
      <c r="H46" s="385"/>
    </row>
  </sheetData>
  <mergeCells count="13">
    <mergeCell ref="A27:C27"/>
    <mergeCell ref="A29:C29"/>
    <mergeCell ref="M7:O7"/>
    <mergeCell ref="A43:H46"/>
    <mergeCell ref="A1:D1"/>
    <mergeCell ref="E1:G1"/>
    <mergeCell ref="A31:C31"/>
    <mergeCell ref="A35:C35"/>
    <mergeCell ref="A3:C3"/>
    <mergeCell ref="A8:C8"/>
    <mergeCell ref="A25:C25"/>
    <mergeCell ref="A38:C38"/>
    <mergeCell ref="A39:C39"/>
  </mergeCells>
  <phoneticPr fontId="0" type="noConversion"/>
  <conditionalFormatting sqref="D38:I39">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4" fitToHeight="0" orientation="portrait" r:id="rId1"/>
  <headerFooter alignWithMargins="0">
    <oddHeader>&amp;F</oddHeader>
    <oddFooter>&amp;A&amp;RPage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6"/>
  <sheetViews>
    <sheetView topLeftCell="A5" zoomScale="70" zoomScaleNormal="70" workbookViewId="0">
      <selection activeCell="P24" sqref="P24"/>
    </sheetView>
  </sheetViews>
  <sheetFormatPr defaultColWidth="9.109375" defaultRowHeight="14.4" x14ac:dyDescent="0.3"/>
  <cols>
    <col min="1" max="1" width="41.6640625" style="77" customWidth="1"/>
    <col min="2" max="2" width="18" style="77" customWidth="1"/>
    <col min="3" max="3" width="47.77734375" style="77" customWidth="1"/>
    <col min="4" max="4" width="16.109375" style="77" customWidth="1"/>
    <col min="5" max="8" width="14.33203125" style="77" customWidth="1"/>
    <col min="9" max="9" width="14.44140625" style="77" customWidth="1"/>
    <col min="10" max="14" width="12.6640625" style="77" hidden="1" customWidth="1"/>
    <col min="15" max="25" width="12.6640625" style="77" customWidth="1"/>
    <col min="26" max="16384" width="9.109375" style="77"/>
  </cols>
  <sheetData>
    <row r="1" spans="1:14" ht="36" customHeight="1" thickBot="1" x14ac:dyDescent="0.35">
      <c r="A1" s="403" t="s">
        <v>80</v>
      </c>
      <c r="B1" s="404"/>
      <c r="C1" s="404"/>
      <c r="D1" s="404"/>
      <c r="E1" s="388" t="s">
        <v>81</v>
      </c>
      <c r="F1" s="388"/>
      <c r="G1" s="388"/>
      <c r="H1" s="149"/>
    </row>
    <row r="2" spans="1:14" ht="15" thickBot="1" x14ac:dyDescent="0.35">
      <c r="A2" s="78"/>
      <c r="B2" s="79"/>
      <c r="C2" s="80"/>
      <c r="D2" s="80"/>
      <c r="E2" s="80"/>
      <c r="F2" s="80"/>
      <c r="G2" s="80"/>
      <c r="H2" s="80"/>
    </row>
    <row r="3" spans="1:14" ht="28.2" customHeight="1" thickBot="1" x14ac:dyDescent="0.35">
      <c r="A3" s="394" t="s">
        <v>43</v>
      </c>
      <c r="B3" s="395"/>
      <c r="C3" s="395"/>
      <c r="D3" s="82"/>
      <c r="E3" s="148">
        <f>'Pryse + Sensatiwiteitsanali'!B26</f>
        <v>3903.84</v>
      </c>
      <c r="F3" s="82" t="s">
        <v>44</v>
      </c>
      <c r="G3" s="84"/>
      <c r="H3" s="84"/>
    </row>
    <row r="4" spans="1:14" ht="15" thickBot="1" x14ac:dyDescent="0.35">
      <c r="A4" s="86"/>
      <c r="B4" s="87"/>
      <c r="C4" s="87"/>
      <c r="D4" s="88"/>
      <c r="E4" s="89"/>
      <c r="F4" s="90"/>
      <c r="G4" s="87"/>
      <c r="H4" s="91"/>
    </row>
    <row r="5" spans="1:14" ht="15" thickBot="1" x14ac:dyDescent="0.35">
      <c r="A5" s="92" t="s">
        <v>45</v>
      </c>
      <c r="B5" s="87"/>
      <c r="C5" s="87"/>
      <c r="D5" s="150">
        <v>5</v>
      </c>
      <c r="E5" s="150">
        <v>5.5</v>
      </c>
      <c r="F5" s="150">
        <v>6</v>
      </c>
      <c r="G5" s="150">
        <v>6.5</v>
      </c>
      <c r="H5" s="150">
        <v>7</v>
      </c>
    </row>
    <row r="6" spans="1:14" ht="15" thickBot="1" x14ac:dyDescent="0.35">
      <c r="A6" s="95" t="s">
        <v>46</v>
      </c>
      <c r="B6" s="96"/>
      <c r="C6" s="97"/>
      <c r="D6" s="129">
        <v>19429.2</v>
      </c>
      <c r="E6" s="129">
        <v>21372.120000000003</v>
      </c>
      <c r="F6" s="129">
        <v>23315.040000000001</v>
      </c>
      <c r="G6" s="129">
        <v>25257.96</v>
      </c>
      <c r="H6" s="129">
        <v>27200.880000000001</v>
      </c>
    </row>
    <row r="7" spans="1:14" ht="15" thickBot="1" x14ac:dyDescent="0.35">
      <c r="A7" s="100"/>
      <c r="B7" s="101"/>
      <c r="C7" s="101"/>
      <c r="D7" s="130"/>
      <c r="E7" s="130"/>
      <c r="F7" s="130"/>
      <c r="G7" s="130"/>
      <c r="H7" s="130"/>
      <c r="L7" s="376"/>
      <c r="M7" s="376"/>
      <c r="N7" s="376"/>
    </row>
    <row r="8" spans="1:14" ht="15" thickBot="1" x14ac:dyDescent="0.35">
      <c r="A8" s="396" t="s">
        <v>48</v>
      </c>
      <c r="B8" s="397"/>
      <c r="C8" s="398"/>
      <c r="D8" s="131"/>
      <c r="E8" s="131"/>
      <c r="F8" s="131"/>
      <c r="G8" s="131"/>
      <c r="H8" s="131"/>
      <c r="L8" s="68"/>
      <c r="M8" s="68"/>
      <c r="N8" s="68"/>
    </row>
    <row r="9" spans="1:14" x14ac:dyDescent="0.3">
      <c r="A9" s="104" t="s">
        <v>52</v>
      </c>
      <c r="B9" s="105"/>
      <c r="C9" s="105"/>
      <c r="D9" s="132">
        <v>1965.9375750000002</v>
      </c>
      <c r="E9" s="132">
        <v>2206.6646249999999</v>
      </c>
      <c r="F9" s="132">
        <v>2447.3916750000003</v>
      </c>
      <c r="G9" s="132">
        <v>2688.1187250000003</v>
      </c>
      <c r="H9" s="132">
        <v>2246.7858000000001</v>
      </c>
      <c r="L9" s="69"/>
      <c r="M9" s="69"/>
      <c r="N9" s="69"/>
    </row>
    <row r="10" spans="1:14" x14ac:dyDescent="0.3">
      <c r="A10" s="107" t="s">
        <v>53</v>
      </c>
      <c r="B10" s="108"/>
      <c r="C10" s="108"/>
      <c r="D10" s="133">
        <v>6304.3</v>
      </c>
      <c r="E10" s="133">
        <v>6924.73</v>
      </c>
      <c r="F10" s="133">
        <v>7545.16</v>
      </c>
      <c r="G10" s="133">
        <v>8165.59</v>
      </c>
      <c r="H10" s="133">
        <v>8786.02</v>
      </c>
      <c r="L10" s="69"/>
      <c r="M10" s="69"/>
      <c r="N10" s="69"/>
    </row>
    <row r="11" spans="1:14" x14ac:dyDescent="0.3">
      <c r="A11" s="107" t="s">
        <v>54</v>
      </c>
      <c r="B11" s="108"/>
      <c r="C11" s="108"/>
      <c r="D11" s="133">
        <v>800</v>
      </c>
      <c r="E11" s="133">
        <v>800</v>
      </c>
      <c r="F11" s="133">
        <v>800</v>
      </c>
      <c r="G11" s="133">
        <v>800</v>
      </c>
      <c r="H11" s="133">
        <v>800</v>
      </c>
      <c r="L11" s="69"/>
      <c r="M11" s="69"/>
      <c r="N11" s="69"/>
    </row>
    <row r="12" spans="1:14" x14ac:dyDescent="0.3">
      <c r="A12" s="107" t="s">
        <v>55</v>
      </c>
      <c r="B12" s="108"/>
      <c r="C12" s="108"/>
      <c r="D12" s="133">
        <v>2122.3933070000003</v>
      </c>
      <c r="E12" s="133">
        <v>2149.8133069999999</v>
      </c>
      <c r="F12" s="133">
        <v>2177.2333070000004</v>
      </c>
      <c r="G12" s="133">
        <v>2204.653307</v>
      </c>
      <c r="H12" s="133">
        <v>2232.0733070000001</v>
      </c>
      <c r="L12" s="69"/>
      <c r="M12" s="69"/>
      <c r="N12" s="69"/>
    </row>
    <row r="13" spans="1:14" x14ac:dyDescent="0.3">
      <c r="A13" s="107" t="s">
        <v>56</v>
      </c>
      <c r="B13" s="108"/>
      <c r="C13" s="108"/>
      <c r="D13" s="133">
        <v>1280.8481333333332</v>
      </c>
      <c r="E13" s="133">
        <v>1285.6014666666665</v>
      </c>
      <c r="F13" s="133">
        <v>1290.3547999999998</v>
      </c>
      <c r="G13" s="133">
        <v>1295.1081333333332</v>
      </c>
      <c r="H13" s="133">
        <v>1299.8614666666665</v>
      </c>
      <c r="L13" s="69"/>
      <c r="M13" s="69"/>
      <c r="N13" s="69"/>
    </row>
    <row r="14" spans="1:14" x14ac:dyDescent="0.3">
      <c r="A14" s="107" t="s">
        <v>57</v>
      </c>
      <c r="B14" s="108"/>
      <c r="C14" s="108"/>
      <c r="D14" s="133">
        <v>1372.308</v>
      </c>
      <c r="E14" s="133">
        <v>1372.308</v>
      </c>
      <c r="F14" s="133">
        <v>1372.308</v>
      </c>
      <c r="G14" s="133">
        <v>1372.308</v>
      </c>
      <c r="H14" s="133">
        <v>1372.308</v>
      </c>
      <c r="L14" s="69"/>
      <c r="M14" s="69"/>
      <c r="N14" s="69"/>
    </row>
    <row r="15" spans="1:14" x14ac:dyDescent="0.3">
      <c r="A15" s="107" t="s">
        <v>58</v>
      </c>
      <c r="B15" s="108"/>
      <c r="C15" s="108"/>
      <c r="D15" s="133">
        <v>594.303</v>
      </c>
      <c r="E15" s="133">
        <v>594.303</v>
      </c>
      <c r="F15" s="133">
        <v>594.303</v>
      </c>
      <c r="G15" s="133">
        <v>594.303</v>
      </c>
      <c r="H15" s="133">
        <v>594.303</v>
      </c>
    </row>
    <row r="16" spans="1:14" x14ac:dyDescent="0.3">
      <c r="A16" s="107" t="s">
        <v>59</v>
      </c>
      <c r="B16" s="108"/>
      <c r="C16" s="108"/>
      <c r="D16" s="133"/>
      <c r="E16" s="133"/>
      <c r="F16" s="133"/>
      <c r="G16" s="133"/>
      <c r="H16" s="133"/>
    </row>
    <row r="17" spans="1:9" x14ac:dyDescent="0.3">
      <c r="A17" s="107" t="s">
        <v>60</v>
      </c>
      <c r="B17" s="108"/>
      <c r="C17" s="108"/>
      <c r="D17" s="133">
        <v>1690.4705791362007</v>
      </c>
      <c r="E17" s="133">
        <v>1793.9388154083499</v>
      </c>
      <c r="F17" s="133">
        <v>1897.4070516804991</v>
      </c>
      <c r="G17" s="133">
        <v>2000.8752879526485</v>
      </c>
      <c r="H17" s="133">
        <v>2029.8799290608051</v>
      </c>
    </row>
    <row r="18" spans="1:9" x14ac:dyDescent="0.3">
      <c r="A18" s="107" t="s">
        <v>61</v>
      </c>
      <c r="B18" s="108"/>
      <c r="C18" s="108"/>
      <c r="D18" s="133"/>
      <c r="E18" s="133"/>
      <c r="F18" s="133"/>
      <c r="G18" s="133"/>
      <c r="H18" s="133"/>
    </row>
    <row r="19" spans="1:9" x14ac:dyDescent="0.3">
      <c r="A19" s="107" t="s">
        <v>62</v>
      </c>
      <c r="B19" s="108"/>
      <c r="C19" s="108"/>
      <c r="D19" s="133">
        <v>544.01760000000002</v>
      </c>
      <c r="E19" s="133">
        <v>598.4193600000001</v>
      </c>
      <c r="F19" s="133">
        <v>652.82112000000006</v>
      </c>
      <c r="G19" s="133">
        <v>707.22288000000003</v>
      </c>
      <c r="H19" s="133">
        <v>761.62464</v>
      </c>
    </row>
    <row r="20" spans="1:9" x14ac:dyDescent="0.3">
      <c r="A20" s="107" t="s">
        <v>63</v>
      </c>
      <c r="B20" s="108"/>
      <c r="C20" s="108"/>
      <c r="D20" s="133">
        <v>200</v>
      </c>
      <c r="E20" s="133">
        <v>200</v>
      </c>
      <c r="F20" s="133">
        <v>200</v>
      </c>
      <c r="G20" s="133">
        <v>200</v>
      </c>
      <c r="H20" s="133">
        <v>200</v>
      </c>
    </row>
    <row r="21" spans="1:9" x14ac:dyDescent="0.3">
      <c r="A21" s="107" t="s">
        <v>64</v>
      </c>
      <c r="B21" s="108"/>
      <c r="C21" s="108"/>
      <c r="D21" s="133">
        <v>300</v>
      </c>
      <c r="E21" s="133">
        <v>300</v>
      </c>
      <c r="F21" s="133">
        <v>300</v>
      </c>
      <c r="G21" s="133">
        <v>300</v>
      </c>
      <c r="H21" s="133">
        <v>300</v>
      </c>
    </row>
    <row r="22" spans="1:9" x14ac:dyDescent="0.3">
      <c r="A22" s="107" t="s">
        <v>65</v>
      </c>
      <c r="B22" s="108"/>
      <c r="C22" s="108"/>
      <c r="D22" s="133"/>
      <c r="E22" s="133"/>
      <c r="F22" s="133"/>
      <c r="G22" s="133"/>
      <c r="H22" s="133"/>
    </row>
    <row r="23" spans="1:9" x14ac:dyDescent="0.3">
      <c r="A23" s="107" t="str">
        <f>'W-RR mielies Laer opbrengs '!A23</f>
        <v>Oorlê land koste / overlay costs</v>
      </c>
      <c r="B23" s="108"/>
      <c r="C23" s="108"/>
      <c r="D23" s="133">
        <v>2010.301360125</v>
      </c>
      <c r="E23" s="133">
        <v>2010.301360125</v>
      </c>
      <c r="F23" s="133">
        <v>2010.301360125</v>
      </c>
      <c r="G23" s="133">
        <v>2010.301360125</v>
      </c>
      <c r="H23" s="133">
        <v>2010.301360125</v>
      </c>
    </row>
    <row r="24" spans="1:9" ht="15" thickBot="1" x14ac:dyDescent="0.35">
      <c r="A24" s="107" t="s">
        <v>67</v>
      </c>
      <c r="B24" s="108"/>
      <c r="C24" s="108"/>
      <c r="D24" s="133">
        <v>1175.0738727189153</v>
      </c>
      <c r="E24" s="133">
        <v>1239.4598959697507</v>
      </c>
      <c r="F24" s="133">
        <v>1303.8459192205867</v>
      </c>
      <c r="G24" s="133">
        <v>1368.2319424714226</v>
      </c>
      <c r="H24" s="133">
        <v>1386.2808970497135</v>
      </c>
    </row>
    <row r="25" spans="1:9" ht="15" thickBot="1" x14ac:dyDescent="0.35">
      <c r="A25" s="373" t="s">
        <v>68</v>
      </c>
      <c r="B25" s="374"/>
      <c r="C25" s="375"/>
      <c r="D25" s="134">
        <f>SUM(D9:D24)</f>
        <v>20359.953427313452</v>
      </c>
      <c r="E25" s="134">
        <f>SUM(E9:E24)</f>
        <v>21475.539830169764</v>
      </c>
      <c r="F25" s="134">
        <f>SUM(F9:F24)</f>
        <v>22591.126233026087</v>
      </c>
      <c r="G25" s="134">
        <f>SUM(G9:G24)</f>
        <v>23706.712635882403</v>
      </c>
      <c r="H25" s="134">
        <f>SUM(H9:H24)</f>
        <v>24019.438399902181</v>
      </c>
    </row>
    <row r="26" spans="1:9" ht="15" thickBot="1" x14ac:dyDescent="0.35">
      <c r="A26" s="111"/>
      <c r="B26" s="112"/>
      <c r="C26" s="112"/>
      <c r="D26" s="135"/>
      <c r="E26" s="135"/>
      <c r="F26" s="135"/>
      <c r="G26" s="135"/>
      <c r="H26" s="135"/>
    </row>
    <row r="27" spans="1:9" ht="15" thickBot="1" x14ac:dyDescent="0.35">
      <c r="A27" s="370" t="s">
        <v>69</v>
      </c>
      <c r="B27" s="371"/>
      <c r="C27" s="372"/>
      <c r="D27" s="136">
        <v>7328.6099999999988</v>
      </c>
      <c r="E27" s="137">
        <v>7328.6099999999988</v>
      </c>
      <c r="F27" s="137">
        <v>7328.6099999999988</v>
      </c>
      <c r="G27" s="137">
        <v>7328.6099999999988</v>
      </c>
      <c r="H27" s="137">
        <v>7328.6099999999988</v>
      </c>
      <c r="I27" s="151"/>
    </row>
    <row r="28" spans="1:9" ht="15" thickBot="1" x14ac:dyDescent="0.35">
      <c r="A28" s="111"/>
      <c r="B28" s="112"/>
      <c r="C28" s="112"/>
      <c r="D28" s="135"/>
      <c r="E28" s="135"/>
      <c r="F28" s="135"/>
      <c r="G28" s="135"/>
      <c r="H28" s="135"/>
    </row>
    <row r="29" spans="1:9" ht="15" thickBot="1" x14ac:dyDescent="0.35">
      <c r="A29" s="373" t="s">
        <v>70</v>
      </c>
      <c r="B29" s="374"/>
      <c r="C29" s="375"/>
      <c r="D29" s="134">
        <f>D25+D27</f>
        <v>27688.563427313449</v>
      </c>
      <c r="E29" s="134">
        <f t="shared" ref="E29:H29" si="0">E25+E27</f>
        <v>28804.149830169765</v>
      </c>
      <c r="F29" s="134">
        <f t="shared" si="0"/>
        <v>29919.736233026088</v>
      </c>
      <c r="G29" s="134">
        <f t="shared" si="0"/>
        <v>31035.322635882403</v>
      </c>
      <c r="H29" s="134">
        <f t="shared" si="0"/>
        <v>31348.048399902182</v>
      </c>
    </row>
    <row r="30" spans="1:9" ht="15" thickBot="1" x14ac:dyDescent="0.35">
      <c r="A30" s="114"/>
      <c r="B30" s="115"/>
      <c r="C30" s="115"/>
      <c r="D30" s="138"/>
      <c r="E30" s="138"/>
      <c r="F30" s="138"/>
      <c r="G30" s="138"/>
      <c r="H30" s="138"/>
    </row>
    <row r="31" spans="1:9" ht="15" thickBot="1" x14ac:dyDescent="0.35">
      <c r="A31" s="373" t="s">
        <v>71</v>
      </c>
      <c r="B31" s="389"/>
      <c r="C31" s="390"/>
      <c r="D31" s="134">
        <f>D29/D5</f>
        <v>5537.7126854626895</v>
      </c>
      <c r="E31" s="134">
        <f>E29/E5</f>
        <v>5237.1181509399576</v>
      </c>
      <c r="F31" s="134">
        <f>F29/F5</f>
        <v>4986.6227055043482</v>
      </c>
      <c r="G31" s="134">
        <f>G29/G5</f>
        <v>4774.6650209049849</v>
      </c>
      <c r="H31" s="134">
        <f>H29/H5</f>
        <v>4478.2926285574549</v>
      </c>
    </row>
    <row r="32" spans="1:9" ht="15" thickBot="1" x14ac:dyDescent="0.35">
      <c r="A32" s="100"/>
      <c r="B32" s="101"/>
      <c r="C32" s="101"/>
      <c r="D32" s="138"/>
      <c r="E32" s="138"/>
      <c r="F32" s="138"/>
      <c r="G32" s="138"/>
      <c r="H32" s="138"/>
    </row>
    <row r="33" spans="1:9" ht="15" thickBot="1" x14ac:dyDescent="0.35">
      <c r="A33" s="117" t="s">
        <v>72</v>
      </c>
      <c r="B33" s="96"/>
      <c r="C33" s="96"/>
      <c r="D33" s="134">
        <f>'Pryse + Sensatiwiteitsanali'!$D$4</f>
        <v>408.16</v>
      </c>
      <c r="E33" s="134">
        <f>'Pryse + Sensatiwiteitsanali'!$D$4</f>
        <v>408.16</v>
      </c>
      <c r="F33" s="134">
        <f>'Pryse + Sensatiwiteitsanali'!$D$4</f>
        <v>408.16</v>
      </c>
      <c r="G33" s="134">
        <f>'Pryse + Sensatiwiteitsanali'!$D$4</f>
        <v>408.16</v>
      </c>
      <c r="H33" s="134">
        <f>'Pryse + Sensatiwiteitsanali'!$D$4</f>
        <v>408.16</v>
      </c>
    </row>
    <row r="34" spans="1:9" ht="15" thickBot="1" x14ac:dyDescent="0.35">
      <c r="A34" s="100"/>
      <c r="B34" s="101"/>
      <c r="C34" s="101"/>
      <c r="D34" s="138"/>
      <c r="E34" s="138"/>
      <c r="F34" s="138"/>
      <c r="G34" s="138"/>
      <c r="H34" s="138"/>
    </row>
    <row r="35" spans="1:9" ht="15" thickBot="1" x14ac:dyDescent="0.35">
      <c r="A35" s="391" t="s">
        <v>73</v>
      </c>
      <c r="B35" s="392"/>
      <c r="C35" s="393"/>
      <c r="D35" s="139">
        <f>D31+D33</f>
        <v>5945.8726854626893</v>
      </c>
      <c r="E35" s="139">
        <f>E31+E33</f>
        <v>5645.2781509399574</v>
      </c>
      <c r="F35" s="139">
        <f>F31+F33</f>
        <v>5394.7827055043481</v>
      </c>
      <c r="G35" s="139">
        <f>G31+G33</f>
        <v>5182.8250209049847</v>
      </c>
      <c r="H35" s="139">
        <f>H31+H33</f>
        <v>4886.4526285574548</v>
      </c>
    </row>
    <row r="36" spans="1:9" ht="15" thickBot="1" x14ac:dyDescent="0.35">
      <c r="A36" s="147" t="s">
        <v>74</v>
      </c>
      <c r="B36" s="119"/>
      <c r="C36" s="120"/>
      <c r="D36" s="139">
        <f>'Pryse + Sensatiwiteitsanali'!B4</f>
        <v>4312</v>
      </c>
      <c r="E36" s="139">
        <f>$D$36</f>
        <v>4312</v>
      </c>
      <c r="F36" s="139">
        <f>$D$36</f>
        <v>4312</v>
      </c>
      <c r="G36" s="139">
        <f>$D$36</f>
        <v>4312</v>
      </c>
      <c r="H36" s="139">
        <f>$D$36</f>
        <v>4312</v>
      </c>
    </row>
    <row r="37" spans="1:9" ht="15" thickBot="1" x14ac:dyDescent="0.35">
      <c r="D37" s="140"/>
      <c r="E37" s="140"/>
      <c r="F37" s="140"/>
      <c r="G37" s="140"/>
      <c r="H37" s="140"/>
    </row>
    <row r="38" spans="1:9" s="121" customFormat="1" x14ac:dyDescent="0.3">
      <c r="A38" s="399" t="s">
        <v>75</v>
      </c>
      <c r="B38" s="400"/>
      <c r="C38" s="400"/>
      <c r="D38" s="141">
        <f>D6-D25</f>
        <v>-930.75342731345154</v>
      </c>
      <c r="E38" s="142">
        <f>E6-E25</f>
        <v>-103.41983016976155</v>
      </c>
      <c r="F38" s="141">
        <f>F6-F25</f>
        <v>723.91376697391388</v>
      </c>
      <c r="G38" s="142">
        <f>G6-G25</f>
        <v>1551.2473641175966</v>
      </c>
      <c r="H38" s="141">
        <f>H6-H25</f>
        <v>3181.4416000978199</v>
      </c>
    </row>
    <row r="39" spans="1:9" s="121" customFormat="1" ht="15" thickBot="1" x14ac:dyDescent="0.35">
      <c r="A39" s="401" t="s">
        <v>76</v>
      </c>
      <c r="B39" s="402"/>
      <c r="C39" s="402"/>
      <c r="D39" s="144">
        <f>D6-D29</f>
        <v>-8259.3634273134485</v>
      </c>
      <c r="E39" s="145">
        <f>E6-E29</f>
        <v>-7432.0298301697621</v>
      </c>
      <c r="F39" s="144">
        <f>F6-F29</f>
        <v>-6604.6962330260867</v>
      </c>
      <c r="G39" s="145">
        <f>G6-G29</f>
        <v>-5777.362635882404</v>
      </c>
      <c r="H39" s="144">
        <f>H6-H29</f>
        <v>-4147.1683999021807</v>
      </c>
    </row>
    <row r="40" spans="1:9" x14ac:dyDescent="0.3">
      <c r="A40" s="72" t="s">
        <v>166</v>
      </c>
      <c r="B40" s="122"/>
      <c r="C40" s="122"/>
      <c r="D40" s="122"/>
      <c r="E40" s="122"/>
      <c r="F40" s="122"/>
      <c r="G40" s="122"/>
      <c r="H40" s="123"/>
      <c r="I40" s="124"/>
    </row>
    <row r="41" spans="1:9" x14ac:dyDescent="0.3">
      <c r="A41" s="73" t="s">
        <v>77</v>
      </c>
      <c r="B41" s="125"/>
      <c r="C41" s="125"/>
      <c r="D41" s="125"/>
      <c r="E41" s="125"/>
      <c r="F41" s="125"/>
      <c r="G41" s="125"/>
      <c r="H41" s="126"/>
      <c r="I41" s="124"/>
    </row>
    <row r="42" spans="1:9" ht="15" thickBot="1" x14ac:dyDescent="0.35">
      <c r="A42" s="74" t="s">
        <v>78</v>
      </c>
      <c r="B42" s="127"/>
      <c r="C42" s="127"/>
      <c r="D42" s="127"/>
      <c r="E42" s="127"/>
      <c r="F42" s="127"/>
      <c r="G42" s="127"/>
      <c r="H42" s="128"/>
      <c r="I42" s="124"/>
    </row>
    <row r="43" spans="1:9" x14ac:dyDescent="0.3">
      <c r="A43" s="377" t="s">
        <v>79</v>
      </c>
      <c r="B43" s="378"/>
      <c r="C43" s="378"/>
      <c r="D43" s="378"/>
      <c r="E43" s="378"/>
      <c r="F43" s="378"/>
      <c r="G43" s="378"/>
      <c r="H43" s="379"/>
    </row>
    <row r="44" spans="1:9" x14ac:dyDescent="0.3">
      <c r="A44" s="380"/>
      <c r="B44" s="381"/>
      <c r="C44" s="381"/>
      <c r="D44" s="381"/>
      <c r="E44" s="381"/>
      <c r="F44" s="381"/>
      <c r="G44" s="381"/>
      <c r="H44" s="382"/>
    </row>
    <row r="45" spans="1:9" x14ac:dyDescent="0.3">
      <c r="A45" s="380"/>
      <c r="B45" s="381"/>
      <c r="C45" s="381"/>
      <c r="D45" s="381"/>
      <c r="E45" s="381"/>
      <c r="F45" s="381"/>
      <c r="G45" s="381"/>
      <c r="H45" s="382"/>
    </row>
    <row r="46" spans="1:9" ht="15" thickBot="1" x14ac:dyDescent="0.35">
      <c r="A46" s="383"/>
      <c r="B46" s="384"/>
      <c r="C46" s="384"/>
      <c r="D46" s="384"/>
      <c r="E46" s="384"/>
      <c r="F46" s="384"/>
      <c r="G46" s="384"/>
      <c r="H46" s="385"/>
    </row>
  </sheetData>
  <mergeCells count="13">
    <mergeCell ref="A27:C27"/>
    <mergeCell ref="A29:C29"/>
    <mergeCell ref="L7:N7"/>
    <mergeCell ref="A43:H46"/>
    <mergeCell ref="E1:G1"/>
    <mergeCell ref="A1:D1"/>
    <mergeCell ref="A31:C31"/>
    <mergeCell ref="A35:C35"/>
    <mergeCell ref="A3:C3"/>
    <mergeCell ref="A8:C8"/>
    <mergeCell ref="A25:C25"/>
    <mergeCell ref="A38:C38"/>
    <mergeCell ref="A39:C39"/>
  </mergeCells>
  <phoneticPr fontId="0" type="noConversion"/>
  <conditionalFormatting sqref="D38:H39">
    <cfRule type="colorScale" priority="65">
      <colorScale>
        <cfvo type="min"/>
        <cfvo type="percentile" val="50"/>
        <cfvo type="max"/>
        <color rgb="FFF8696B"/>
        <color rgb="FFFFEB84"/>
        <color rgb="FF63BE7B"/>
      </colorScale>
    </cfRule>
    <cfRule type="colorScale" priority="66">
      <colorScale>
        <cfvo type="min"/>
        <cfvo type="percentile" val="50"/>
        <cfvo type="max"/>
        <color rgb="FFF8696B"/>
        <color rgb="FFFFEB84"/>
        <color rgb="FF63BE7B"/>
      </colorScale>
    </cfRule>
    <cfRule type="colorScale" priority="67">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54" fitToHeight="0" orientation="portrait" verticalDpi="300" r:id="rId1"/>
  <headerFooter alignWithMargins="0">
    <oddHeader>&amp;F</oddHeader>
    <oddFooter>&amp;A&amp;RPage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6"/>
  <sheetViews>
    <sheetView topLeftCell="A4" zoomScale="70" zoomScaleNormal="70" workbookViewId="0">
      <selection activeCell="P18" sqref="P18"/>
    </sheetView>
  </sheetViews>
  <sheetFormatPr defaultColWidth="9.109375" defaultRowHeight="14.4" x14ac:dyDescent="0.3"/>
  <cols>
    <col min="1" max="1" width="41.6640625" style="77" customWidth="1"/>
    <col min="2" max="2" width="14.6640625" style="77" customWidth="1"/>
    <col min="3" max="3" width="44.44140625" style="77" customWidth="1"/>
    <col min="4" max="4" width="16.6640625" style="77" customWidth="1"/>
    <col min="5" max="5" width="14.44140625" style="77" customWidth="1"/>
    <col min="6" max="9" width="14.33203125" style="77" customWidth="1"/>
    <col min="10" max="10" width="14.44140625" style="77" customWidth="1"/>
    <col min="11" max="15" width="12.6640625" style="77" hidden="1" customWidth="1"/>
    <col min="16" max="26" width="12.6640625" style="77" customWidth="1"/>
    <col min="27" max="16384" width="9.109375" style="77"/>
  </cols>
  <sheetData>
    <row r="1" spans="1:15" ht="33.75" customHeight="1" thickBot="1" x14ac:dyDescent="0.35">
      <c r="A1" s="411" t="s">
        <v>167</v>
      </c>
      <c r="B1" s="412"/>
      <c r="C1" s="412"/>
      <c r="D1" s="412"/>
      <c r="E1" s="388" t="s">
        <v>42</v>
      </c>
      <c r="F1" s="388"/>
      <c r="G1" s="388"/>
      <c r="H1" s="149"/>
      <c r="I1" s="76"/>
    </row>
    <row r="2" spans="1:15" ht="15" thickBot="1" x14ac:dyDescent="0.35">
      <c r="A2" s="78"/>
      <c r="B2" s="79"/>
      <c r="C2" s="80"/>
      <c r="D2" s="80"/>
      <c r="E2" s="80"/>
      <c r="F2" s="80"/>
      <c r="G2" s="80"/>
      <c r="H2" s="80"/>
      <c r="I2" s="81"/>
    </row>
    <row r="3" spans="1:15" ht="27.75" customHeight="1" thickBot="1" x14ac:dyDescent="0.35">
      <c r="A3" s="394" t="s">
        <v>43</v>
      </c>
      <c r="B3" s="395"/>
      <c r="C3" s="395"/>
      <c r="D3" s="82"/>
      <c r="E3" s="83">
        <f>'Pryse + Sensatiwiteitsanali'!B26</f>
        <v>3903.84</v>
      </c>
      <c r="F3" s="82" t="s">
        <v>44</v>
      </c>
      <c r="G3" s="84"/>
      <c r="H3" s="84"/>
      <c r="I3" s="85"/>
    </row>
    <row r="4" spans="1:15" ht="15" thickBot="1" x14ac:dyDescent="0.35">
      <c r="A4" s="86"/>
      <c r="B4" s="87"/>
      <c r="C4" s="87"/>
      <c r="D4" s="88"/>
      <c r="E4" s="89"/>
      <c r="F4" s="90"/>
      <c r="G4" s="87"/>
      <c r="H4" s="91"/>
      <c r="I4" s="91"/>
    </row>
    <row r="5" spans="1:15" ht="15" thickBot="1" x14ac:dyDescent="0.35">
      <c r="A5" s="92" t="s">
        <v>45</v>
      </c>
      <c r="B5" s="87"/>
      <c r="C5" s="87"/>
      <c r="D5" s="93">
        <v>3.5</v>
      </c>
      <c r="E5" s="93">
        <v>4</v>
      </c>
      <c r="F5" s="93">
        <v>4.5</v>
      </c>
      <c r="G5" s="93">
        <v>5</v>
      </c>
      <c r="H5" s="93">
        <v>6</v>
      </c>
      <c r="I5" s="93">
        <v>7</v>
      </c>
      <c r="K5" s="94"/>
      <c r="L5" s="94"/>
    </row>
    <row r="6" spans="1:15" ht="15" thickBot="1" x14ac:dyDescent="0.35">
      <c r="A6" s="95" t="s">
        <v>46</v>
      </c>
      <c r="B6" s="96"/>
      <c r="C6" s="97"/>
      <c r="D6" s="129">
        <v>14280.462000000001</v>
      </c>
      <c r="E6" s="129">
        <v>16320.528000000002</v>
      </c>
      <c r="F6" s="129">
        <v>18360.594000000001</v>
      </c>
      <c r="G6" s="129">
        <v>20400.66</v>
      </c>
      <c r="H6" s="129">
        <v>24480.792000000001</v>
      </c>
      <c r="I6" s="129">
        <v>28560.924000000003</v>
      </c>
      <c r="K6" s="99"/>
      <c r="L6" s="99"/>
    </row>
    <row r="7" spans="1:15" ht="15" thickBot="1" x14ac:dyDescent="0.35">
      <c r="A7" s="100"/>
      <c r="B7" s="101"/>
      <c r="C7" s="101"/>
      <c r="D7" s="130"/>
      <c r="E7" s="130"/>
      <c r="F7" s="130"/>
      <c r="G7" s="130"/>
      <c r="H7" s="130"/>
      <c r="I7" s="130"/>
      <c r="K7" s="152"/>
      <c r="L7" s="152"/>
      <c r="M7" s="376" t="s">
        <v>82</v>
      </c>
      <c r="N7" s="376"/>
      <c r="O7" s="376"/>
    </row>
    <row r="8" spans="1:15" ht="15" thickBot="1" x14ac:dyDescent="0.35">
      <c r="A8" s="396" t="s">
        <v>48</v>
      </c>
      <c r="B8" s="397"/>
      <c r="C8" s="398"/>
      <c r="D8" s="131"/>
      <c r="E8" s="131"/>
      <c r="F8" s="131"/>
      <c r="G8" s="131"/>
      <c r="H8" s="131"/>
      <c r="I8" s="131"/>
      <c r="M8" s="68" t="s">
        <v>49</v>
      </c>
      <c r="N8" s="68" t="s">
        <v>50</v>
      </c>
      <c r="O8" s="68" t="s">
        <v>51</v>
      </c>
    </row>
    <row r="9" spans="1:15" x14ac:dyDescent="0.3">
      <c r="A9" s="104" t="s">
        <v>52</v>
      </c>
      <c r="B9" s="105"/>
      <c r="C9" s="105"/>
      <c r="D9" s="132">
        <v>1591.5887491874998</v>
      </c>
      <c r="E9" s="132">
        <v>1667.3786896249997</v>
      </c>
      <c r="F9" s="132">
        <v>1781.0636002812498</v>
      </c>
      <c r="G9" s="132">
        <v>1894.7485109374998</v>
      </c>
      <c r="H9" s="132">
        <v>1894.7485109374998</v>
      </c>
      <c r="I9" s="132">
        <v>2046.3283918124998</v>
      </c>
      <c r="K9" s="109"/>
      <c r="L9" s="109"/>
      <c r="M9" s="69">
        <f>D5</f>
        <v>3.5</v>
      </c>
      <c r="N9" s="69">
        <f>D25</f>
        <v>17582.554740096974</v>
      </c>
      <c r="O9" s="69">
        <f>D27</f>
        <v>7658.1599999999989</v>
      </c>
    </row>
    <row r="10" spans="1:15" x14ac:dyDescent="0.3">
      <c r="A10" s="107" t="s">
        <v>53</v>
      </c>
      <c r="B10" s="108"/>
      <c r="C10" s="108"/>
      <c r="D10" s="133">
        <v>4443.01</v>
      </c>
      <c r="E10" s="133">
        <v>5063.4400000000005</v>
      </c>
      <c r="F10" s="133">
        <v>5683.87</v>
      </c>
      <c r="G10" s="133">
        <v>6304.3</v>
      </c>
      <c r="H10" s="133">
        <v>7545.16</v>
      </c>
      <c r="I10" s="133">
        <v>8786.02</v>
      </c>
      <c r="K10" s="109"/>
      <c r="L10" s="109"/>
      <c r="M10" s="69">
        <f>E5</f>
        <v>4</v>
      </c>
      <c r="N10" s="69">
        <f>E25</f>
        <v>18520.347842704541</v>
      </c>
      <c r="O10" s="69">
        <f>E27</f>
        <v>7658.1599999999989</v>
      </c>
    </row>
    <row r="11" spans="1:15" x14ac:dyDescent="0.3">
      <c r="A11" s="107" t="s">
        <v>54</v>
      </c>
      <c r="B11" s="108"/>
      <c r="C11" s="108"/>
      <c r="D11" s="133">
        <v>800</v>
      </c>
      <c r="E11" s="133">
        <v>800</v>
      </c>
      <c r="F11" s="133">
        <v>800</v>
      </c>
      <c r="G11" s="133">
        <v>800</v>
      </c>
      <c r="H11" s="133">
        <v>800</v>
      </c>
      <c r="I11" s="133">
        <v>800</v>
      </c>
      <c r="K11" s="109"/>
      <c r="L11" s="109"/>
      <c r="M11" s="69">
        <f>F5</f>
        <v>4.5</v>
      </c>
      <c r="N11" s="69">
        <f>F25</f>
        <v>19502.747550469547</v>
      </c>
      <c r="O11" s="69">
        <f>F27</f>
        <v>7658.1599999999989</v>
      </c>
    </row>
    <row r="12" spans="1:15" x14ac:dyDescent="0.3">
      <c r="A12" s="107" t="s">
        <v>55</v>
      </c>
      <c r="B12" s="108"/>
      <c r="C12" s="108"/>
      <c r="D12" s="133">
        <v>2156.9533070000002</v>
      </c>
      <c r="E12" s="133">
        <v>2195.548307</v>
      </c>
      <c r="F12" s="133">
        <v>2234.1433070000003</v>
      </c>
      <c r="G12" s="133">
        <v>2272.7383070000001</v>
      </c>
      <c r="H12" s="133">
        <v>2337.0633070000003</v>
      </c>
      <c r="I12" s="133">
        <v>2401.3883070000002</v>
      </c>
      <c r="K12" s="109"/>
      <c r="L12" s="109"/>
      <c r="M12" s="69">
        <f>G5</f>
        <v>5</v>
      </c>
      <c r="N12" s="69">
        <f>G25</f>
        <v>20485.147258234549</v>
      </c>
      <c r="O12" s="69">
        <f>G27</f>
        <v>7658.1599999999989</v>
      </c>
    </row>
    <row r="13" spans="1:15" x14ac:dyDescent="0.3">
      <c r="A13" s="107" t="s">
        <v>56</v>
      </c>
      <c r="B13" s="108"/>
      <c r="C13" s="108"/>
      <c r="D13" s="133">
        <v>1266.5881333333332</v>
      </c>
      <c r="E13" s="133">
        <v>1271.3414666666665</v>
      </c>
      <c r="F13" s="133">
        <v>1276.0947999999999</v>
      </c>
      <c r="G13" s="133">
        <v>1280.8481333333332</v>
      </c>
      <c r="H13" s="133">
        <v>1290.3547999999998</v>
      </c>
      <c r="I13" s="133">
        <v>1299.8614666666665</v>
      </c>
      <c r="K13" s="109"/>
      <c r="L13" s="109"/>
      <c r="M13" s="69">
        <f>H5</f>
        <v>6</v>
      </c>
      <c r="N13" s="69">
        <f>H25</f>
        <v>22167.163503399323</v>
      </c>
      <c r="O13" s="69">
        <f>H27</f>
        <v>7658.1599999999989</v>
      </c>
    </row>
    <row r="14" spans="1:15" x14ac:dyDescent="0.3">
      <c r="A14" s="107" t="s">
        <v>57</v>
      </c>
      <c r="B14" s="108"/>
      <c r="C14" s="108"/>
      <c r="D14" s="133">
        <v>1372.308</v>
      </c>
      <c r="E14" s="133">
        <v>1372.308</v>
      </c>
      <c r="F14" s="133">
        <v>1372.308</v>
      </c>
      <c r="G14" s="133">
        <v>1372.308</v>
      </c>
      <c r="H14" s="133">
        <v>1372.308</v>
      </c>
      <c r="I14" s="133">
        <v>1372.308</v>
      </c>
      <c r="K14" s="109"/>
      <c r="L14" s="109"/>
      <c r="M14" s="69">
        <f>I5</f>
        <v>7</v>
      </c>
      <c r="N14" s="69">
        <f>I25</f>
        <v>24027.606169193845</v>
      </c>
      <c r="O14" s="69">
        <f>I27</f>
        <v>7658.1599999999989</v>
      </c>
    </row>
    <row r="15" spans="1:15" x14ac:dyDescent="0.3">
      <c r="A15" s="107" t="s">
        <v>58</v>
      </c>
      <c r="B15" s="108"/>
      <c r="C15" s="108"/>
      <c r="D15" s="133">
        <v>594.303</v>
      </c>
      <c r="E15" s="133">
        <v>594.303</v>
      </c>
      <c r="F15" s="133">
        <v>594.303</v>
      </c>
      <c r="G15" s="133">
        <v>594.303</v>
      </c>
      <c r="H15" s="133">
        <v>594.303</v>
      </c>
      <c r="I15" s="133">
        <v>594.303</v>
      </c>
      <c r="K15" s="109"/>
      <c r="L15" s="109"/>
    </row>
    <row r="16" spans="1:15" x14ac:dyDescent="0.3">
      <c r="A16" s="107" t="s">
        <v>59</v>
      </c>
      <c r="B16" s="108"/>
      <c r="C16" s="108"/>
      <c r="D16" s="133"/>
      <c r="E16" s="133"/>
      <c r="F16" s="133"/>
      <c r="G16" s="133"/>
      <c r="H16" s="133"/>
      <c r="I16" s="133"/>
      <c r="K16" s="109"/>
      <c r="L16" s="109"/>
    </row>
    <row r="17" spans="1:12" x14ac:dyDescent="0.3">
      <c r="A17" s="107" t="s">
        <v>60</v>
      </c>
      <c r="B17" s="108"/>
      <c r="C17" s="108"/>
      <c r="D17" s="133">
        <v>1432.8728324667452</v>
      </c>
      <c r="E17" s="133">
        <v>1519.8511230469765</v>
      </c>
      <c r="F17" s="133">
        <v>1610.9665801881401</v>
      </c>
      <c r="G17" s="133">
        <v>1702.0820373293034</v>
      </c>
      <c r="H17" s="133">
        <v>1858.0854215787947</v>
      </c>
      <c r="I17" s="133">
        <v>2030.6374720720162</v>
      </c>
      <c r="K17" s="109"/>
      <c r="L17" s="109"/>
    </row>
    <row r="18" spans="1:12" x14ac:dyDescent="0.3">
      <c r="A18" s="107" t="s">
        <v>61</v>
      </c>
      <c r="B18" s="108"/>
      <c r="C18" s="108"/>
      <c r="D18" s="133"/>
      <c r="E18" s="133"/>
      <c r="F18" s="133"/>
      <c r="G18" s="133"/>
      <c r="H18" s="133"/>
      <c r="I18" s="133"/>
      <c r="K18" s="109"/>
      <c r="L18" s="109"/>
    </row>
    <row r="19" spans="1:12" x14ac:dyDescent="0.3">
      <c r="A19" s="107" t="s">
        <v>62</v>
      </c>
      <c r="B19" s="108"/>
      <c r="C19" s="108"/>
      <c r="D19" s="133">
        <v>399.85293600000006</v>
      </c>
      <c r="E19" s="133">
        <v>456.97478400000006</v>
      </c>
      <c r="F19" s="133">
        <v>514.096632</v>
      </c>
      <c r="G19" s="133">
        <v>571.21848</v>
      </c>
      <c r="H19" s="133">
        <v>685.462176</v>
      </c>
      <c r="I19" s="133">
        <v>799.70587200000011</v>
      </c>
      <c r="K19" s="109"/>
      <c r="L19" s="109"/>
    </row>
    <row r="20" spans="1:12" x14ac:dyDescent="0.3">
      <c r="A20" s="107" t="s">
        <v>63</v>
      </c>
      <c r="B20" s="108"/>
      <c r="C20" s="108"/>
      <c r="D20" s="133">
        <v>200</v>
      </c>
      <c r="E20" s="133">
        <v>200</v>
      </c>
      <c r="F20" s="133">
        <v>200</v>
      </c>
      <c r="G20" s="133">
        <v>200</v>
      </c>
      <c r="H20" s="133">
        <v>200</v>
      </c>
      <c r="I20" s="133">
        <v>200</v>
      </c>
      <c r="K20" s="109"/>
      <c r="L20" s="109"/>
    </row>
    <row r="21" spans="1:12" x14ac:dyDescent="0.3">
      <c r="A21" s="107" t="s">
        <v>64</v>
      </c>
      <c r="B21" s="108"/>
      <c r="C21" s="108"/>
      <c r="D21" s="133">
        <v>300</v>
      </c>
      <c r="E21" s="133">
        <v>300</v>
      </c>
      <c r="F21" s="133">
        <v>300</v>
      </c>
      <c r="G21" s="133">
        <v>300</v>
      </c>
      <c r="H21" s="133">
        <v>300</v>
      </c>
      <c r="I21" s="133">
        <v>300</v>
      </c>
      <c r="K21" s="109"/>
      <c r="L21" s="109"/>
    </row>
    <row r="22" spans="1:12" x14ac:dyDescent="0.3">
      <c r="A22" s="107" t="s">
        <v>65</v>
      </c>
      <c r="B22" s="108"/>
      <c r="C22" s="108"/>
      <c r="D22" s="133"/>
      <c r="E22" s="133"/>
      <c r="F22" s="133"/>
      <c r="G22" s="133"/>
      <c r="H22" s="133"/>
      <c r="I22" s="133"/>
      <c r="K22" s="109"/>
      <c r="L22" s="109"/>
    </row>
    <row r="23" spans="1:12" x14ac:dyDescent="0.3">
      <c r="A23" s="107" t="str">
        <f>'W-RR mielies Hoer opbrengs  '!A23</f>
        <v>Oorlê land koste / overlay costs</v>
      </c>
      <c r="B23" s="108"/>
      <c r="C23" s="108"/>
      <c r="D23" s="133">
        <v>2010.301360125</v>
      </c>
      <c r="E23" s="133">
        <v>2010.301360125</v>
      </c>
      <c r="F23" s="133">
        <v>2010.301360125</v>
      </c>
      <c r="G23" s="133">
        <v>2010.301360125</v>
      </c>
      <c r="H23" s="133">
        <v>2010.301360125</v>
      </c>
      <c r="I23" s="133">
        <v>2010.301360125</v>
      </c>
      <c r="K23" s="109"/>
      <c r="L23" s="109"/>
    </row>
    <row r="24" spans="1:12" ht="15" thickBot="1" x14ac:dyDescent="0.35">
      <c r="A24" s="107" t="s">
        <v>67</v>
      </c>
      <c r="B24" s="108"/>
      <c r="C24" s="108"/>
      <c r="D24" s="133">
        <v>1014.7764219843954</v>
      </c>
      <c r="E24" s="133">
        <v>1068.9011122408981</v>
      </c>
      <c r="F24" s="133">
        <v>1125.6002708751564</v>
      </c>
      <c r="G24" s="133">
        <v>1182.2994295094145</v>
      </c>
      <c r="H24" s="133">
        <v>1279.3769277580293</v>
      </c>
      <c r="I24" s="133">
        <v>1386.752299517666</v>
      </c>
      <c r="K24" s="109"/>
      <c r="L24" s="109"/>
    </row>
    <row r="25" spans="1:12" ht="15" thickBot="1" x14ac:dyDescent="0.35">
      <c r="A25" s="373" t="s">
        <v>68</v>
      </c>
      <c r="B25" s="374"/>
      <c r="C25" s="375"/>
      <c r="D25" s="134">
        <f t="shared" ref="D25:I25" si="0">SUM(D9:D24)</f>
        <v>17582.554740096974</v>
      </c>
      <c r="E25" s="134">
        <f t="shared" si="0"/>
        <v>18520.347842704541</v>
      </c>
      <c r="F25" s="134">
        <f t="shared" si="0"/>
        <v>19502.747550469547</v>
      </c>
      <c r="G25" s="134">
        <f t="shared" si="0"/>
        <v>20485.147258234549</v>
      </c>
      <c r="H25" s="134">
        <f t="shared" si="0"/>
        <v>22167.163503399323</v>
      </c>
      <c r="I25" s="134">
        <f t="shared" si="0"/>
        <v>24027.606169193845</v>
      </c>
      <c r="K25" s="94"/>
      <c r="L25" s="94"/>
    </row>
    <row r="26" spans="1:12" ht="15" thickBot="1" x14ac:dyDescent="0.35">
      <c r="A26" s="111"/>
      <c r="B26" s="112"/>
      <c r="C26" s="112"/>
      <c r="D26" s="135"/>
      <c r="E26" s="135"/>
      <c r="F26" s="135"/>
      <c r="G26" s="135"/>
      <c r="H26" s="135"/>
      <c r="I26" s="135"/>
    </row>
    <row r="27" spans="1:12" ht="15" thickBot="1" x14ac:dyDescent="0.35">
      <c r="A27" s="370" t="s">
        <v>69</v>
      </c>
      <c r="B27" s="371"/>
      <c r="C27" s="372"/>
      <c r="D27" s="136">
        <v>7658.1599999999989</v>
      </c>
      <c r="E27" s="137">
        <v>7658.1599999999989</v>
      </c>
      <c r="F27" s="137">
        <v>7658.1599999999989</v>
      </c>
      <c r="G27" s="137">
        <v>7658.1599999999989</v>
      </c>
      <c r="H27" s="137">
        <v>7658.1599999999989</v>
      </c>
      <c r="I27" s="137">
        <v>7658.1599999999989</v>
      </c>
      <c r="J27" s="151"/>
    </row>
    <row r="28" spans="1:12" ht="15" thickBot="1" x14ac:dyDescent="0.35">
      <c r="A28" s="111"/>
      <c r="B28" s="112"/>
      <c r="C28" s="112"/>
      <c r="D28" s="135"/>
      <c r="E28" s="135"/>
      <c r="F28" s="135"/>
      <c r="G28" s="135"/>
      <c r="H28" s="135"/>
      <c r="I28" s="135"/>
    </row>
    <row r="29" spans="1:12" ht="15" thickBot="1" x14ac:dyDescent="0.35">
      <c r="A29" s="373" t="s">
        <v>70</v>
      </c>
      <c r="B29" s="374"/>
      <c r="C29" s="375"/>
      <c r="D29" s="134">
        <f>D25+D27</f>
        <v>25240.714740096973</v>
      </c>
      <c r="E29" s="134">
        <f t="shared" ref="E29:I29" si="1">E25+E27</f>
        <v>26178.507842704541</v>
      </c>
      <c r="F29" s="134">
        <f t="shared" si="1"/>
        <v>27160.907550469547</v>
      </c>
      <c r="G29" s="134">
        <f t="shared" si="1"/>
        <v>28143.307258234548</v>
      </c>
      <c r="H29" s="134">
        <f t="shared" si="1"/>
        <v>29825.323503399322</v>
      </c>
      <c r="I29" s="134">
        <f t="shared" si="1"/>
        <v>31685.766169193845</v>
      </c>
    </row>
    <row r="30" spans="1:12" ht="15" thickBot="1" x14ac:dyDescent="0.35">
      <c r="A30" s="114"/>
      <c r="B30" s="115"/>
      <c r="C30" s="115"/>
      <c r="D30" s="138"/>
      <c r="E30" s="138"/>
      <c r="F30" s="138"/>
      <c r="G30" s="138"/>
      <c r="H30" s="138"/>
      <c r="I30" s="138"/>
    </row>
    <row r="31" spans="1:12" ht="15" thickBot="1" x14ac:dyDescent="0.35">
      <c r="A31" s="373" t="s">
        <v>71</v>
      </c>
      <c r="B31" s="389"/>
      <c r="C31" s="390"/>
      <c r="D31" s="134">
        <f>D29/D5</f>
        <v>7211.6327828848498</v>
      </c>
      <c r="E31" s="134">
        <f t="shared" ref="E31:I31" si="2">E29/E5</f>
        <v>6544.6269606761352</v>
      </c>
      <c r="F31" s="134">
        <f t="shared" si="2"/>
        <v>6035.7572334376773</v>
      </c>
      <c r="G31" s="134">
        <f t="shared" si="2"/>
        <v>5628.6614516469099</v>
      </c>
      <c r="H31" s="134">
        <f t="shared" si="2"/>
        <v>4970.887250566554</v>
      </c>
      <c r="I31" s="134">
        <f t="shared" si="2"/>
        <v>4526.5380241705489</v>
      </c>
    </row>
    <row r="32" spans="1:12" ht="15" thickBot="1" x14ac:dyDescent="0.35">
      <c r="A32" s="100"/>
      <c r="B32" s="101"/>
      <c r="C32" s="101"/>
      <c r="D32" s="138"/>
      <c r="E32" s="138"/>
      <c r="F32" s="138"/>
      <c r="G32" s="138"/>
      <c r="H32" s="138"/>
      <c r="I32" s="138"/>
    </row>
    <row r="33" spans="1:10" ht="15" thickBot="1" x14ac:dyDescent="0.35">
      <c r="A33" s="117" t="s">
        <v>72</v>
      </c>
      <c r="B33" s="96"/>
      <c r="C33" s="96"/>
      <c r="D33" s="134">
        <f>'Pryse + Sensatiwiteitsanali'!$D$4</f>
        <v>408.16</v>
      </c>
      <c r="E33" s="134">
        <f>'Pryse + Sensatiwiteitsanali'!$D$4</f>
        <v>408.16</v>
      </c>
      <c r="F33" s="134">
        <f>'Pryse + Sensatiwiteitsanali'!$D$4</f>
        <v>408.16</v>
      </c>
      <c r="G33" s="134">
        <f>'Pryse + Sensatiwiteitsanali'!$D$4</f>
        <v>408.16</v>
      </c>
      <c r="H33" s="134">
        <f>'Pryse + Sensatiwiteitsanali'!$D$4</f>
        <v>408.16</v>
      </c>
      <c r="I33" s="134">
        <f>'Pryse + Sensatiwiteitsanali'!$D$4</f>
        <v>408.16</v>
      </c>
    </row>
    <row r="34" spans="1:10" ht="15" thickBot="1" x14ac:dyDescent="0.35">
      <c r="A34" s="100"/>
      <c r="B34" s="101"/>
      <c r="C34" s="101"/>
      <c r="D34" s="138"/>
      <c r="E34" s="138"/>
      <c r="F34" s="138"/>
      <c r="G34" s="138"/>
      <c r="H34" s="138"/>
      <c r="I34" s="138"/>
    </row>
    <row r="35" spans="1:10" ht="15" thickBot="1" x14ac:dyDescent="0.35">
      <c r="A35" s="391" t="s">
        <v>73</v>
      </c>
      <c r="B35" s="392"/>
      <c r="C35" s="393"/>
      <c r="D35" s="139">
        <f t="shared" ref="D35:I35" si="3">D31+D33</f>
        <v>7619.7927828848497</v>
      </c>
      <c r="E35" s="139">
        <f t="shared" si="3"/>
        <v>6952.7869606761351</v>
      </c>
      <c r="F35" s="139">
        <f t="shared" si="3"/>
        <v>6443.9172334376772</v>
      </c>
      <c r="G35" s="139">
        <f t="shared" si="3"/>
        <v>6036.8214516469097</v>
      </c>
      <c r="H35" s="139">
        <f t="shared" si="3"/>
        <v>5379.0472505665539</v>
      </c>
      <c r="I35" s="139">
        <f t="shared" si="3"/>
        <v>4934.6980241705487</v>
      </c>
    </row>
    <row r="36" spans="1:10" ht="15" thickBot="1" x14ac:dyDescent="0.35">
      <c r="A36" s="147" t="s">
        <v>74</v>
      </c>
      <c r="B36" s="119"/>
      <c r="C36" s="120"/>
      <c r="D36" s="139">
        <f>'Pryse + Sensatiwiteitsanali'!B4</f>
        <v>4312</v>
      </c>
      <c r="E36" s="139">
        <f>$D$36</f>
        <v>4312</v>
      </c>
      <c r="F36" s="139">
        <f>$D$36</f>
        <v>4312</v>
      </c>
      <c r="G36" s="139">
        <f>$D$36</f>
        <v>4312</v>
      </c>
      <c r="H36" s="139">
        <f>$D$36</f>
        <v>4312</v>
      </c>
      <c r="I36" s="139">
        <f>$D$36</f>
        <v>4312</v>
      </c>
    </row>
    <row r="37" spans="1:10" ht="15" thickBot="1" x14ac:dyDescent="0.35">
      <c r="D37" s="140"/>
      <c r="E37" s="140"/>
      <c r="F37" s="140"/>
      <c r="G37" s="140"/>
      <c r="H37" s="140"/>
      <c r="I37" s="140"/>
    </row>
    <row r="38" spans="1:10" s="121" customFormat="1" x14ac:dyDescent="0.3">
      <c r="A38" s="399" t="s">
        <v>75</v>
      </c>
      <c r="B38" s="400"/>
      <c r="C38" s="400"/>
      <c r="D38" s="141">
        <f>D6-D25</f>
        <v>-3302.0927400969722</v>
      </c>
      <c r="E38" s="142">
        <f t="shared" ref="E38:I38" si="4">E6-E25</f>
        <v>-2199.819842704539</v>
      </c>
      <c r="F38" s="141">
        <f t="shared" si="4"/>
        <v>-1142.1535504695457</v>
      </c>
      <c r="G38" s="142">
        <f t="shared" si="4"/>
        <v>-84.48725823454879</v>
      </c>
      <c r="H38" s="141">
        <f t="shared" si="4"/>
        <v>2313.6284966006788</v>
      </c>
      <c r="I38" s="143">
        <f t="shared" si="4"/>
        <v>4533.3178308061579</v>
      </c>
    </row>
    <row r="39" spans="1:10" s="121" customFormat="1" ht="15" thickBot="1" x14ac:dyDescent="0.35">
      <c r="A39" s="413" t="s">
        <v>76</v>
      </c>
      <c r="B39" s="414"/>
      <c r="C39" s="414"/>
      <c r="D39" s="202">
        <f>D6-D29</f>
        <v>-10960.252740096972</v>
      </c>
      <c r="E39" s="203">
        <f t="shared" ref="E39:I39" si="5">E6-E29</f>
        <v>-9857.9798427045389</v>
      </c>
      <c r="F39" s="202">
        <f t="shared" si="5"/>
        <v>-8800.3135504695456</v>
      </c>
      <c r="G39" s="203">
        <f t="shared" si="5"/>
        <v>-7742.6472582345486</v>
      </c>
      <c r="H39" s="202">
        <f t="shared" si="5"/>
        <v>-5344.5315033993211</v>
      </c>
      <c r="I39" s="204">
        <f t="shared" si="5"/>
        <v>-3124.842169193842</v>
      </c>
    </row>
    <row r="40" spans="1:10" x14ac:dyDescent="0.3">
      <c r="A40" s="205" t="s">
        <v>166</v>
      </c>
      <c r="B40" s="207"/>
      <c r="C40" s="207"/>
      <c r="D40" s="207"/>
      <c r="E40" s="207"/>
      <c r="F40" s="207"/>
      <c r="G40" s="207"/>
      <c r="H40" s="207"/>
      <c r="I40" s="208"/>
      <c r="J40" s="124"/>
    </row>
    <row r="41" spans="1:10" x14ac:dyDescent="0.3">
      <c r="A41" s="206" t="s">
        <v>77</v>
      </c>
      <c r="B41" s="209"/>
      <c r="C41" s="209"/>
      <c r="D41" s="209"/>
      <c r="E41" s="209"/>
      <c r="F41" s="209"/>
      <c r="G41" s="209"/>
      <c r="H41" s="209"/>
      <c r="I41" s="210"/>
      <c r="J41" s="124"/>
    </row>
    <row r="42" spans="1:10" ht="15" thickBot="1" x14ac:dyDescent="0.35">
      <c r="A42" s="341" t="s">
        <v>78</v>
      </c>
      <c r="B42" s="342"/>
      <c r="C42" s="342"/>
      <c r="D42" s="342"/>
      <c r="E42" s="342"/>
      <c r="F42" s="342"/>
      <c r="G42" s="342"/>
      <c r="H42" s="342"/>
      <c r="I42" s="343"/>
      <c r="J42" s="124"/>
    </row>
    <row r="43" spans="1:10" x14ac:dyDescent="0.3">
      <c r="A43" s="405" t="s">
        <v>79</v>
      </c>
      <c r="B43" s="406"/>
      <c r="C43" s="406"/>
      <c r="D43" s="406"/>
      <c r="E43" s="406"/>
      <c r="F43" s="406"/>
      <c r="G43" s="406"/>
      <c r="H43" s="406"/>
      <c r="I43" s="344"/>
    </row>
    <row r="44" spans="1:10" x14ac:dyDescent="0.3">
      <c r="A44" s="407"/>
      <c r="B44" s="408"/>
      <c r="C44" s="408"/>
      <c r="D44" s="408"/>
      <c r="E44" s="408"/>
      <c r="F44" s="408"/>
      <c r="G44" s="408"/>
      <c r="H44" s="408"/>
      <c r="I44" s="212"/>
    </row>
    <row r="45" spans="1:10" x14ac:dyDescent="0.3">
      <c r="A45" s="407"/>
      <c r="B45" s="408"/>
      <c r="C45" s="408"/>
      <c r="D45" s="408"/>
      <c r="E45" s="408"/>
      <c r="F45" s="408"/>
      <c r="G45" s="408"/>
      <c r="H45" s="408"/>
      <c r="I45" s="212"/>
    </row>
    <row r="46" spans="1:10" ht="15" thickBot="1" x14ac:dyDescent="0.35">
      <c r="A46" s="409"/>
      <c r="B46" s="410"/>
      <c r="C46" s="410"/>
      <c r="D46" s="410"/>
      <c r="E46" s="410"/>
      <c r="F46" s="410"/>
      <c r="G46" s="410"/>
      <c r="H46" s="410"/>
      <c r="I46" s="213"/>
    </row>
  </sheetData>
  <mergeCells count="13">
    <mergeCell ref="A27:C27"/>
    <mergeCell ref="A29:C29"/>
    <mergeCell ref="M7:O7"/>
    <mergeCell ref="A43:H46"/>
    <mergeCell ref="A1:D1"/>
    <mergeCell ref="E1:G1"/>
    <mergeCell ref="A31:C31"/>
    <mergeCell ref="A35:C35"/>
    <mergeCell ref="A3:C3"/>
    <mergeCell ref="A8:C8"/>
    <mergeCell ref="A25:C25"/>
    <mergeCell ref="A38:C38"/>
    <mergeCell ref="A39:C39"/>
  </mergeCells>
  <phoneticPr fontId="0" type="noConversion"/>
  <conditionalFormatting sqref="D38:I39">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59" fitToHeight="0" orientation="portrait" verticalDpi="300" r:id="rId1"/>
  <headerFooter alignWithMargins="0">
    <oddHeader>&amp;F</oddHeader>
    <oddFooter>&amp;A&amp;RPage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7"/>
  <sheetViews>
    <sheetView topLeftCell="A6" zoomScale="70" zoomScaleNormal="70" workbookViewId="0">
      <selection activeCell="P26" sqref="P26"/>
    </sheetView>
  </sheetViews>
  <sheetFormatPr defaultColWidth="9.109375" defaultRowHeight="14.4" x14ac:dyDescent="0.3"/>
  <cols>
    <col min="1" max="1" width="41.6640625" style="77" customWidth="1"/>
    <col min="2" max="2" width="15.6640625" style="77" customWidth="1"/>
    <col min="3" max="3" width="35.21875" style="77" customWidth="1"/>
    <col min="4" max="4" width="15" style="77" customWidth="1"/>
    <col min="5" max="9" width="14.33203125" style="77" customWidth="1"/>
    <col min="10" max="10" width="14.44140625" style="77" customWidth="1"/>
    <col min="11" max="12" width="12.6640625" style="77" customWidth="1"/>
    <col min="13" max="15" width="12.6640625" style="77" hidden="1" customWidth="1"/>
    <col min="16" max="26" width="12.6640625" style="77" customWidth="1"/>
    <col min="27" max="16384" width="9.109375" style="77"/>
  </cols>
  <sheetData>
    <row r="1" spans="1:15" ht="31.5" customHeight="1" thickBot="1" x14ac:dyDescent="0.35">
      <c r="A1" s="386" t="s">
        <v>168</v>
      </c>
      <c r="B1" s="387"/>
      <c r="C1" s="387"/>
      <c r="D1" s="387"/>
      <c r="E1" s="388" t="s">
        <v>83</v>
      </c>
      <c r="F1" s="388"/>
      <c r="G1" s="388"/>
      <c r="H1" s="75"/>
      <c r="I1" s="76"/>
    </row>
    <row r="2" spans="1:15" ht="15" thickBot="1" x14ac:dyDescent="0.35">
      <c r="A2" s="78"/>
      <c r="B2" s="79"/>
      <c r="C2" s="80"/>
      <c r="D2" s="80"/>
      <c r="E2" s="80"/>
      <c r="F2" s="80"/>
      <c r="G2" s="80"/>
      <c r="H2" s="80"/>
      <c r="I2" s="81"/>
    </row>
    <row r="3" spans="1:15" ht="31.8" customHeight="1" thickBot="1" x14ac:dyDescent="0.35">
      <c r="A3" s="394" t="s">
        <v>43</v>
      </c>
      <c r="B3" s="395"/>
      <c r="C3" s="395"/>
      <c r="D3" s="82"/>
      <c r="E3" s="148">
        <f>'Pryse + Sensatiwiteitsanali'!B66</f>
        <v>9526.73</v>
      </c>
      <c r="F3" s="82" t="s">
        <v>44</v>
      </c>
      <c r="G3" s="84"/>
      <c r="H3" s="84"/>
      <c r="I3" s="85"/>
    </row>
    <row r="4" spans="1:15" ht="15" thickBot="1" x14ac:dyDescent="0.35">
      <c r="A4" s="86"/>
      <c r="B4" s="87"/>
      <c r="C4" s="87"/>
      <c r="D4" s="88"/>
      <c r="E4" s="89"/>
      <c r="F4" s="90"/>
      <c r="G4" s="87"/>
      <c r="H4" s="91"/>
      <c r="I4" s="91"/>
    </row>
    <row r="5" spans="1:15" ht="15" thickBot="1" x14ac:dyDescent="0.35">
      <c r="A5" s="92" t="s">
        <v>45</v>
      </c>
      <c r="B5" s="87"/>
      <c r="C5" s="87"/>
      <c r="D5" s="93">
        <v>1</v>
      </c>
      <c r="E5" s="93">
        <v>1.25</v>
      </c>
      <c r="F5" s="93">
        <v>1.5</v>
      </c>
      <c r="G5" s="93">
        <v>1.75</v>
      </c>
      <c r="H5" s="93">
        <v>2</v>
      </c>
      <c r="I5" s="93">
        <v>2.5</v>
      </c>
    </row>
    <row r="6" spans="1:15" ht="15" thickBot="1" x14ac:dyDescent="0.35">
      <c r="A6" s="95" t="s">
        <v>46</v>
      </c>
      <c r="B6" s="96"/>
      <c r="C6" s="97"/>
      <c r="D6" s="129">
        <v>9526.73</v>
      </c>
      <c r="E6" s="129">
        <v>11908.412499999999</v>
      </c>
      <c r="F6" s="129">
        <v>14290.094999999999</v>
      </c>
      <c r="G6" s="129">
        <v>16671.7775</v>
      </c>
      <c r="H6" s="129">
        <v>19053.46</v>
      </c>
      <c r="I6" s="129">
        <v>23816.824999999997</v>
      </c>
    </row>
    <row r="7" spans="1:15" ht="15" thickBot="1" x14ac:dyDescent="0.35">
      <c r="A7" s="100"/>
      <c r="B7" s="101"/>
      <c r="C7" s="101"/>
      <c r="D7" s="130"/>
      <c r="E7" s="130"/>
      <c r="F7" s="130"/>
      <c r="G7" s="130"/>
      <c r="H7" s="130"/>
      <c r="I7" s="130"/>
      <c r="M7" s="376" t="s">
        <v>84</v>
      </c>
      <c r="N7" s="376"/>
      <c r="O7" s="376"/>
    </row>
    <row r="8" spans="1:15" ht="15" thickBot="1" x14ac:dyDescent="0.35">
      <c r="A8" s="396" t="s">
        <v>48</v>
      </c>
      <c r="B8" s="397"/>
      <c r="C8" s="398"/>
      <c r="D8" s="131"/>
      <c r="E8" s="131"/>
      <c r="F8" s="131"/>
      <c r="G8" s="131"/>
      <c r="H8" s="131"/>
      <c r="I8" s="131"/>
      <c r="M8" s="68" t="s">
        <v>49</v>
      </c>
      <c r="N8" s="68" t="s">
        <v>50</v>
      </c>
      <c r="O8" s="68" t="s">
        <v>51</v>
      </c>
    </row>
    <row r="9" spans="1:15" x14ac:dyDescent="0.3">
      <c r="A9" s="104" t="s">
        <v>52</v>
      </c>
      <c r="B9" s="105"/>
      <c r="C9" s="105"/>
      <c r="D9" s="132">
        <v>832.48526666666658</v>
      </c>
      <c r="E9" s="132">
        <v>891.94849999999997</v>
      </c>
      <c r="F9" s="132">
        <v>951.41173333333325</v>
      </c>
      <c r="G9" s="132">
        <v>1010.8749666666666</v>
      </c>
      <c r="H9" s="132">
        <v>1070.3381999999999</v>
      </c>
      <c r="I9" s="132">
        <v>1070.3381999999999</v>
      </c>
      <c r="K9" s="106"/>
      <c r="M9" s="69">
        <f>D5</f>
        <v>1</v>
      </c>
      <c r="N9" s="69">
        <f>D25</f>
        <v>10259.832010298938</v>
      </c>
      <c r="O9" s="69">
        <f>D27</f>
        <v>6336.2800000000007</v>
      </c>
    </row>
    <row r="10" spans="1:15" x14ac:dyDescent="0.3">
      <c r="A10" s="107" t="s">
        <v>53</v>
      </c>
      <c r="B10" s="108"/>
      <c r="C10" s="108"/>
      <c r="D10" s="133">
        <v>1336.31</v>
      </c>
      <c r="E10" s="133">
        <v>1645.3875</v>
      </c>
      <c r="F10" s="133">
        <v>1954.4650000000001</v>
      </c>
      <c r="G10" s="133">
        <v>2263.5425000000005</v>
      </c>
      <c r="H10" s="133">
        <v>2572.62</v>
      </c>
      <c r="I10" s="133">
        <v>3190.7750000000001</v>
      </c>
      <c r="K10" s="106"/>
      <c r="M10" s="69">
        <f>E5</f>
        <v>1.25</v>
      </c>
      <c r="N10" s="69">
        <f>E25</f>
        <v>10808.592150551109</v>
      </c>
      <c r="O10" s="69">
        <f>E27</f>
        <v>6336.2800000000007</v>
      </c>
    </row>
    <row r="11" spans="1:15" x14ac:dyDescent="0.3">
      <c r="A11" s="107" t="s">
        <v>54</v>
      </c>
      <c r="B11" s="108"/>
      <c r="C11" s="108"/>
      <c r="D11" s="133">
        <v>800</v>
      </c>
      <c r="E11" s="133">
        <v>800</v>
      </c>
      <c r="F11" s="133">
        <v>800</v>
      </c>
      <c r="G11" s="133">
        <v>800</v>
      </c>
      <c r="H11" s="133">
        <v>800</v>
      </c>
      <c r="I11" s="133">
        <v>800</v>
      </c>
      <c r="K11" s="106"/>
      <c r="M11" s="69">
        <f>F5</f>
        <v>1.5</v>
      </c>
      <c r="N11" s="69">
        <f>F25</f>
        <v>11357.352290803281</v>
      </c>
      <c r="O11" s="69">
        <f>F27</f>
        <v>6336.2800000000007</v>
      </c>
    </row>
    <row r="12" spans="1:15" x14ac:dyDescent="0.3">
      <c r="A12" s="107" t="s">
        <v>55</v>
      </c>
      <c r="B12" s="108"/>
      <c r="C12" s="108"/>
      <c r="D12" s="133">
        <v>2094.5020439999998</v>
      </c>
      <c r="E12" s="133">
        <v>2113.799544</v>
      </c>
      <c r="F12" s="133">
        <v>2133.0970440000001</v>
      </c>
      <c r="G12" s="133">
        <v>2152.3945440000002</v>
      </c>
      <c r="H12" s="133">
        <v>2171.6920440000004</v>
      </c>
      <c r="I12" s="133">
        <v>2197.4220439999999</v>
      </c>
      <c r="K12" s="106"/>
      <c r="M12" s="69">
        <f>G5</f>
        <v>1.75</v>
      </c>
      <c r="N12" s="69">
        <f>G25</f>
        <v>11906.11243105545</v>
      </c>
      <c r="O12" s="69">
        <f>G27</f>
        <v>6336.2800000000007</v>
      </c>
    </row>
    <row r="13" spans="1:15" x14ac:dyDescent="0.3">
      <c r="A13" s="107" t="s">
        <v>56</v>
      </c>
      <c r="B13" s="108"/>
      <c r="C13" s="108"/>
      <c r="D13" s="133">
        <v>1261.9687333333331</v>
      </c>
      <c r="E13" s="133">
        <v>1263.1570666666667</v>
      </c>
      <c r="F13" s="133">
        <v>1264.3453999999999</v>
      </c>
      <c r="G13" s="133">
        <v>1265.5337333333332</v>
      </c>
      <c r="H13" s="133">
        <v>1266.7220666666667</v>
      </c>
      <c r="I13" s="133">
        <v>1269.0987333333333</v>
      </c>
      <c r="K13" s="106"/>
      <c r="M13" s="69">
        <f>H5</f>
        <v>2</v>
      </c>
      <c r="N13" s="69">
        <f>H25</f>
        <v>12454.87257130762</v>
      </c>
      <c r="O13" s="69">
        <f>H27</f>
        <v>6336.2800000000007</v>
      </c>
    </row>
    <row r="14" spans="1:15" x14ac:dyDescent="0.3">
      <c r="A14" s="107" t="s">
        <v>57</v>
      </c>
      <c r="B14" s="108"/>
      <c r="C14" s="108"/>
      <c r="D14" s="133">
        <v>1331.712</v>
      </c>
      <c r="E14" s="133">
        <v>1331.712</v>
      </c>
      <c r="F14" s="133">
        <v>1331.712</v>
      </c>
      <c r="G14" s="133">
        <v>1331.712</v>
      </c>
      <c r="H14" s="133">
        <v>1331.712</v>
      </c>
      <c r="I14" s="133">
        <v>1331.712</v>
      </c>
      <c r="K14" s="106"/>
      <c r="M14" s="69">
        <f>I5</f>
        <v>2.5</v>
      </c>
      <c r="N14" s="69">
        <f>I25</f>
        <v>13406.642002272336</v>
      </c>
      <c r="O14" s="69">
        <f>I27</f>
        <v>6336.2800000000007</v>
      </c>
    </row>
    <row r="15" spans="1:15" x14ac:dyDescent="0.3">
      <c r="A15" s="107" t="s">
        <v>58</v>
      </c>
      <c r="B15" s="108"/>
      <c r="C15" s="108"/>
      <c r="D15" s="133">
        <v>691.50900000000001</v>
      </c>
      <c r="E15" s="133">
        <v>691.50900000000001</v>
      </c>
      <c r="F15" s="133">
        <v>691.50900000000001</v>
      </c>
      <c r="G15" s="133">
        <v>691.50900000000001</v>
      </c>
      <c r="H15" s="133">
        <v>691.50900000000001</v>
      </c>
      <c r="I15" s="133">
        <v>691.50900000000001</v>
      </c>
      <c r="K15" s="106"/>
    </row>
    <row r="16" spans="1:15" x14ac:dyDescent="0.3">
      <c r="A16" s="107" t="s">
        <v>59</v>
      </c>
      <c r="B16" s="108"/>
      <c r="C16" s="108"/>
      <c r="D16" s="133"/>
      <c r="E16" s="133"/>
      <c r="F16" s="133"/>
      <c r="G16" s="133"/>
      <c r="H16" s="133"/>
      <c r="I16" s="133"/>
      <c r="K16" s="106"/>
    </row>
    <row r="17" spans="1:11" x14ac:dyDescent="0.3">
      <c r="A17" s="107" t="s">
        <v>60</v>
      </c>
      <c r="B17" s="108"/>
      <c r="C17" s="108"/>
      <c r="D17" s="133">
        <v>390.4963347858079</v>
      </c>
      <c r="E17" s="133">
        <v>411.38252699927818</v>
      </c>
      <c r="F17" s="133">
        <v>432.26871921274846</v>
      </c>
      <c r="G17" s="133">
        <v>453.1549114262188</v>
      </c>
      <c r="H17" s="133">
        <v>474.04110363968891</v>
      </c>
      <c r="I17" s="133">
        <v>510.26610946627721</v>
      </c>
      <c r="K17" s="106"/>
    </row>
    <row r="18" spans="1:11" x14ac:dyDescent="0.3">
      <c r="A18" s="107" t="s">
        <v>61</v>
      </c>
      <c r="B18" s="108"/>
      <c r="C18" s="108"/>
      <c r="D18" s="133"/>
      <c r="E18" s="133"/>
      <c r="F18" s="133"/>
      <c r="G18" s="133"/>
      <c r="H18" s="133"/>
      <c r="I18" s="133"/>
      <c r="K18" s="106"/>
    </row>
    <row r="19" spans="1:11" x14ac:dyDescent="0.3">
      <c r="A19" s="107" t="s">
        <v>62</v>
      </c>
      <c r="B19" s="108"/>
      <c r="C19" s="108"/>
      <c r="D19" s="133">
        <v>428.70284999999996</v>
      </c>
      <c r="E19" s="133">
        <v>535.87856249999993</v>
      </c>
      <c r="F19" s="133">
        <v>643.05427499999996</v>
      </c>
      <c r="G19" s="133">
        <v>750.22998749999999</v>
      </c>
      <c r="H19" s="133">
        <v>857.40569999999991</v>
      </c>
      <c r="I19" s="133">
        <v>1071.7571249999999</v>
      </c>
      <c r="K19" s="106"/>
    </row>
    <row r="20" spans="1:11" x14ac:dyDescent="0.3">
      <c r="A20" s="107" t="s">
        <v>63</v>
      </c>
      <c r="B20" s="108"/>
      <c r="C20" s="108"/>
      <c r="D20" s="133">
        <v>200</v>
      </c>
      <c r="E20" s="133">
        <v>200</v>
      </c>
      <c r="F20" s="133">
        <v>200</v>
      </c>
      <c r="G20" s="133">
        <v>200</v>
      </c>
      <c r="H20" s="133">
        <v>200</v>
      </c>
      <c r="I20" s="133">
        <v>200</v>
      </c>
      <c r="K20" s="106"/>
    </row>
    <row r="21" spans="1:11" x14ac:dyDescent="0.3">
      <c r="A21" s="107" t="s">
        <v>64</v>
      </c>
      <c r="B21" s="108"/>
      <c r="C21" s="108"/>
      <c r="D21" s="133">
        <v>300</v>
      </c>
      <c r="E21" s="133">
        <v>300</v>
      </c>
      <c r="F21" s="133">
        <v>300</v>
      </c>
      <c r="G21" s="133">
        <v>300</v>
      </c>
      <c r="H21" s="133">
        <v>300</v>
      </c>
      <c r="I21" s="133">
        <v>300</v>
      </c>
      <c r="K21" s="106"/>
    </row>
    <row r="22" spans="1:11" x14ac:dyDescent="0.3">
      <c r="A22" s="107" t="s">
        <v>65</v>
      </c>
      <c r="B22" s="108"/>
      <c r="C22" s="108"/>
      <c r="D22" s="133"/>
      <c r="E22" s="133"/>
      <c r="F22" s="133"/>
      <c r="G22" s="133"/>
      <c r="H22" s="133"/>
      <c r="I22" s="133"/>
      <c r="K22" s="106"/>
    </row>
    <row r="23" spans="1:11" x14ac:dyDescent="0.3">
      <c r="A23" s="107" t="str">
        <f>'W-BT Mielies '!A23</f>
        <v>Oorlê land koste / overlay costs</v>
      </c>
      <c r="B23" s="108"/>
      <c r="C23" s="108"/>
      <c r="D23" s="133"/>
      <c r="E23" s="133"/>
      <c r="F23" s="133"/>
      <c r="G23" s="133"/>
      <c r="H23" s="133"/>
      <c r="I23" s="133"/>
      <c r="K23" s="106"/>
    </row>
    <row r="24" spans="1:11" ht="15" thickBot="1" x14ac:dyDescent="0.35">
      <c r="A24" s="107" t="s">
        <v>67</v>
      </c>
      <c r="B24" s="108"/>
      <c r="C24" s="108"/>
      <c r="D24" s="133">
        <v>592.14578151313071</v>
      </c>
      <c r="E24" s="133">
        <v>623.81745038516408</v>
      </c>
      <c r="F24" s="133">
        <v>655.48911925719756</v>
      </c>
      <c r="G24" s="133">
        <v>687.16078812923081</v>
      </c>
      <c r="H24" s="133">
        <v>718.83245700126429</v>
      </c>
      <c r="I24" s="133">
        <v>773.7637904727261</v>
      </c>
      <c r="K24" s="106"/>
    </row>
    <row r="25" spans="1:11" ht="15" thickBot="1" x14ac:dyDescent="0.35">
      <c r="A25" s="373" t="s">
        <v>68</v>
      </c>
      <c r="B25" s="374"/>
      <c r="C25" s="375"/>
      <c r="D25" s="134">
        <f>SUM(D9:D24)</f>
        <v>10259.832010298938</v>
      </c>
      <c r="E25" s="134">
        <f t="shared" ref="E25:I25" si="0">SUM(E9:E24)</f>
        <v>10808.592150551109</v>
      </c>
      <c r="F25" s="134">
        <f t="shared" si="0"/>
        <v>11357.352290803281</v>
      </c>
      <c r="G25" s="134">
        <f t="shared" si="0"/>
        <v>11906.11243105545</v>
      </c>
      <c r="H25" s="134">
        <f t="shared" si="0"/>
        <v>12454.87257130762</v>
      </c>
      <c r="I25" s="134">
        <f t="shared" si="0"/>
        <v>13406.642002272336</v>
      </c>
      <c r="K25" s="106"/>
    </row>
    <row r="26" spans="1:11" ht="15" thickBot="1" x14ac:dyDescent="0.35">
      <c r="A26" s="111"/>
      <c r="B26" s="112"/>
      <c r="C26" s="112"/>
      <c r="D26" s="135"/>
      <c r="E26" s="135"/>
      <c r="F26" s="135"/>
      <c r="G26" s="135"/>
      <c r="H26" s="135"/>
      <c r="I26" s="135"/>
    </row>
    <row r="27" spans="1:11" ht="15" thickBot="1" x14ac:dyDescent="0.35">
      <c r="A27" s="370" t="s">
        <v>69</v>
      </c>
      <c r="B27" s="371"/>
      <c r="C27" s="372"/>
      <c r="D27" s="136">
        <v>6336.2800000000007</v>
      </c>
      <c r="E27" s="137">
        <v>6336.2800000000007</v>
      </c>
      <c r="F27" s="137">
        <v>6336.2800000000007</v>
      </c>
      <c r="G27" s="137">
        <v>6336.2800000000007</v>
      </c>
      <c r="H27" s="137">
        <v>6336.2800000000007</v>
      </c>
      <c r="I27" s="137">
        <v>6336.2800000000007</v>
      </c>
      <c r="J27" s="151"/>
    </row>
    <row r="28" spans="1:11" ht="15" thickBot="1" x14ac:dyDescent="0.35">
      <c r="A28" s="111"/>
      <c r="B28" s="112"/>
      <c r="C28" s="112"/>
      <c r="D28" s="135"/>
      <c r="E28" s="135"/>
      <c r="F28" s="135"/>
      <c r="G28" s="135"/>
      <c r="H28" s="135"/>
      <c r="I28" s="135"/>
    </row>
    <row r="29" spans="1:11" ht="15" thickBot="1" x14ac:dyDescent="0.35">
      <c r="A29" s="373" t="s">
        <v>70</v>
      </c>
      <c r="B29" s="374"/>
      <c r="C29" s="375"/>
      <c r="D29" s="134">
        <f>D25+D27</f>
        <v>16596.112010298937</v>
      </c>
      <c r="E29" s="134">
        <f t="shared" ref="E29:I29" si="1">E25+E27</f>
        <v>17144.872150551109</v>
      </c>
      <c r="F29" s="134">
        <f t="shared" si="1"/>
        <v>17693.632290803282</v>
      </c>
      <c r="G29" s="134">
        <f t="shared" si="1"/>
        <v>18242.39243105545</v>
      </c>
      <c r="H29" s="134">
        <f t="shared" si="1"/>
        <v>18791.152571307619</v>
      </c>
      <c r="I29" s="134">
        <f t="shared" si="1"/>
        <v>19742.922002272338</v>
      </c>
    </row>
    <row r="30" spans="1:11" ht="15" thickBot="1" x14ac:dyDescent="0.35">
      <c r="A30" s="114"/>
      <c r="B30" s="115"/>
      <c r="C30" s="115"/>
      <c r="D30" s="138"/>
      <c r="E30" s="138"/>
      <c r="F30" s="138"/>
      <c r="G30" s="138"/>
      <c r="H30" s="138"/>
      <c r="I30" s="138"/>
    </row>
    <row r="31" spans="1:11" ht="15" thickBot="1" x14ac:dyDescent="0.35">
      <c r="A31" s="373" t="s">
        <v>71</v>
      </c>
      <c r="B31" s="389"/>
      <c r="C31" s="390"/>
      <c r="D31" s="134">
        <f>D29/D5</f>
        <v>16596.112010298937</v>
      </c>
      <c r="E31" s="134">
        <f t="shared" ref="E31:I31" si="2">E29/E5</f>
        <v>13715.897720440887</v>
      </c>
      <c r="F31" s="134">
        <f t="shared" si="2"/>
        <v>11795.75486053552</v>
      </c>
      <c r="G31" s="134">
        <f t="shared" si="2"/>
        <v>10424.224246317401</v>
      </c>
      <c r="H31" s="134">
        <f t="shared" si="2"/>
        <v>9395.5762856538095</v>
      </c>
      <c r="I31" s="134">
        <f t="shared" si="2"/>
        <v>7897.1688009089357</v>
      </c>
    </row>
    <row r="32" spans="1:11" ht="15" thickBot="1" x14ac:dyDescent="0.35">
      <c r="A32" s="100"/>
      <c r="B32" s="101"/>
      <c r="C32" s="101"/>
      <c r="D32" s="138"/>
      <c r="E32" s="138"/>
      <c r="F32" s="138"/>
      <c r="G32" s="138"/>
      <c r="H32" s="138"/>
      <c r="I32" s="138"/>
    </row>
    <row r="33" spans="1:10" ht="15" thickBot="1" x14ac:dyDescent="0.35">
      <c r="A33" s="117" t="s">
        <v>72</v>
      </c>
      <c r="B33" s="96"/>
      <c r="C33" s="96"/>
      <c r="D33" s="134">
        <f>'Pryse + Sensatiwiteitsanali'!$D$5</f>
        <v>473.27</v>
      </c>
      <c r="E33" s="134">
        <f>'Pryse + Sensatiwiteitsanali'!$D$5</f>
        <v>473.27</v>
      </c>
      <c r="F33" s="134">
        <f>'Pryse + Sensatiwiteitsanali'!$D$5</f>
        <v>473.27</v>
      </c>
      <c r="G33" s="134">
        <f>'Pryse + Sensatiwiteitsanali'!$D$5</f>
        <v>473.27</v>
      </c>
      <c r="H33" s="134">
        <f>'Pryse + Sensatiwiteitsanali'!$D$5</f>
        <v>473.27</v>
      </c>
      <c r="I33" s="134">
        <f>'Pryse + Sensatiwiteitsanali'!$D$5</f>
        <v>473.27</v>
      </c>
    </row>
    <row r="34" spans="1:10" ht="15" thickBot="1" x14ac:dyDescent="0.35">
      <c r="A34" s="100"/>
      <c r="B34" s="101"/>
      <c r="C34" s="101"/>
      <c r="D34" s="138"/>
      <c r="E34" s="138"/>
      <c r="F34" s="138"/>
      <c r="G34" s="138"/>
      <c r="H34" s="138"/>
      <c r="I34" s="138"/>
    </row>
    <row r="35" spans="1:10" ht="15" thickBot="1" x14ac:dyDescent="0.35">
      <c r="A35" s="391" t="s">
        <v>73</v>
      </c>
      <c r="B35" s="392"/>
      <c r="C35" s="393"/>
      <c r="D35" s="139">
        <f>D31+D33</f>
        <v>17069.382010298938</v>
      </c>
      <c r="E35" s="139">
        <f t="shared" ref="E35:I35" si="3">E31+E33</f>
        <v>14189.167720440888</v>
      </c>
      <c r="F35" s="139">
        <f t="shared" si="3"/>
        <v>12269.024860535521</v>
      </c>
      <c r="G35" s="139">
        <f t="shared" si="3"/>
        <v>10897.494246317401</v>
      </c>
      <c r="H35" s="139">
        <f t="shared" si="3"/>
        <v>9868.8462856538099</v>
      </c>
      <c r="I35" s="139">
        <f t="shared" si="3"/>
        <v>8370.4388009089362</v>
      </c>
    </row>
    <row r="36" spans="1:10" ht="15" thickBot="1" x14ac:dyDescent="0.35">
      <c r="A36" s="147" t="s">
        <v>74</v>
      </c>
      <c r="B36" s="119"/>
      <c r="C36" s="120"/>
      <c r="D36" s="139">
        <f>'Pryse + Sensatiwiteitsanali'!B5</f>
        <v>10000</v>
      </c>
      <c r="E36" s="139">
        <f>$D$36</f>
        <v>10000</v>
      </c>
      <c r="F36" s="139">
        <f>$D$36</f>
        <v>10000</v>
      </c>
      <c r="G36" s="139">
        <f>$D$36</f>
        <v>10000</v>
      </c>
      <c r="H36" s="139">
        <f>$D$36</f>
        <v>10000</v>
      </c>
      <c r="I36" s="139">
        <f>$D$36</f>
        <v>10000</v>
      </c>
    </row>
    <row r="37" spans="1:10" ht="15" thickBot="1" x14ac:dyDescent="0.35">
      <c r="D37" s="140"/>
      <c r="E37" s="140"/>
      <c r="F37" s="140"/>
      <c r="G37" s="140"/>
      <c r="H37" s="140"/>
      <c r="I37" s="140"/>
    </row>
    <row r="38" spans="1:10" s="121" customFormat="1" x14ac:dyDescent="0.3">
      <c r="A38" s="399" t="s">
        <v>75</v>
      </c>
      <c r="B38" s="400"/>
      <c r="C38" s="400"/>
      <c r="D38" s="141">
        <f>D6-D25</f>
        <v>-733.10201029893869</v>
      </c>
      <c r="E38" s="142">
        <f t="shared" ref="E38:I38" si="4">E6-E25</f>
        <v>1099.8203494488898</v>
      </c>
      <c r="F38" s="141">
        <f t="shared" si="4"/>
        <v>2932.7427091967184</v>
      </c>
      <c r="G38" s="142">
        <f t="shared" si="4"/>
        <v>4765.6650689445505</v>
      </c>
      <c r="H38" s="141">
        <f t="shared" si="4"/>
        <v>6598.587428692379</v>
      </c>
      <c r="I38" s="143">
        <f t="shared" si="4"/>
        <v>10410.182997727661</v>
      </c>
    </row>
    <row r="39" spans="1:10" s="121" customFormat="1" ht="15" thickBot="1" x14ac:dyDescent="0.35">
      <c r="A39" s="413" t="s">
        <v>76</v>
      </c>
      <c r="B39" s="414"/>
      <c r="C39" s="414"/>
      <c r="D39" s="202">
        <f t="shared" ref="D39:I39" si="5">D6-D29</f>
        <v>-7069.3820102989375</v>
      </c>
      <c r="E39" s="203">
        <f t="shared" si="5"/>
        <v>-5236.4596505511108</v>
      </c>
      <c r="F39" s="202">
        <f>F6-F29</f>
        <v>-3403.5372908032823</v>
      </c>
      <c r="G39" s="203">
        <f t="shared" si="5"/>
        <v>-1570.6149310554501</v>
      </c>
      <c r="H39" s="202">
        <f t="shared" si="5"/>
        <v>262.3074286923802</v>
      </c>
      <c r="I39" s="204">
        <f t="shared" si="5"/>
        <v>4073.9029977276587</v>
      </c>
    </row>
    <row r="40" spans="1:10" ht="13.2" customHeight="1" x14ac:dyDescent="0.3">
      <c r="A40" s="205" t="s">
        <v>166</v>
      </c>
      <c r="B40" s="207"/>
      <c r="C40" s="207"/>
      <c r="D40" s="207"/>
      <c r="E40" s="207"/>
      <c r="F40" s="207"/>
      <c r="G40" s="207"/>
      <c r="H40" s="207"/>
      <c r="I40" s="208"/>
      <c r="J40" s="124"/>
    </row>
    <row r="41" spans="1:10" ht="13.2" customHeight="1" x14ac:dyDescent="0.3">
      <c r="A41" s="206" t="s">
        <v>77</v>
      </c>
      <c r="B41" s="209"/>
      <c r="C41" s="209"/>
      <c r="D41" s="209"/>
      <c r="E41" s="209"/>
      <c r="F41" s="209"/>
      <c r="G41" s="209"/>
      <c r="H41" s="209"/>
      <c r="I41" s="210"/>
      <c r="J41" s="124"/>
    </row>
    <row r="42" spans="1:10" ht="13.8" customHeight="1" x14ac:dyDescent="0.3">
      <c r="A42" s="206" t="s">
        <v>78</v>
      </c>
      <c r="B42" s="209"/>
      <c r="C42" s="209"/>
      <c r="D42" s="209"/>
      <c r="E42" s="209"/>
      <c r="F42" s="209"/>
      <c r="G42" s="209"/>
      <c r="H42" s="209"/>
      <c r="I42" s="210"/>
      <c r="J42" s="124"/>
    </row>
    <row r="43" spans="1:10" ht="15" thickBot="1" x14ac:dyDescent="0.35">
      <c r="A43" s="211"/>
      <c r="B43" s="80"/>
      <c r="C43" s="80"/>
      <c r="D43" s="80"/>
      <c r="E43" s="80"/>
      <c r="F43" s="80"/>
      <c r="G43" s="80"/>
      <c r="H43" s="80"/>
      <c r="I43" s="81"/>
    </row>
    <row r="44" spans="1:10" x14ac:dyDescent="0.3">
      <c r="A44" s="415" t="s">
        <v>79</v>
      </c>
      <c r="B44" s="416"/>
      <c r="C44" s="416"/>
      <c r="D44" s="416"/>
      <c r="E44" s="416"/>
      <c r="F44" s="416"/>
      <c r="G44" s="416"/>
      <c r="H44" s="416"/>
      <c r="I44" s="212"/>
    </row>
    <row r="45" spans="1:10" x14ac:dyDescent="0.3">
      <c r="A45" s="415"/>
      <c r="B45" s="416"/>
      <c r="C45" s="416"/>
      <c r="D45" s="416"/>
      <c r="E45" s="416"/>
      <c r="F45" s="416"/>
      <c r="G45" s="416"/>
      <c r="H45" s="416"/>
      <c r="I45" s="212"/>
    </row>
    <row r="46" spans="1:10" x14ac:dyDescent="0.3">
      <c r="A46" s="415"/>
      <c r="B46" s="416"/>
      <c r="C46" s="416"/>
      <c r="D46" s="416"/>
      <c r="E46" s="416"/>
      <c r="F46" s="416"/>
      <c r="G46" s="416"/>
      <c r="H46" s="416"/>
      <c r="I46" s="212"/>
    </row>
    <row r="47" spans="1:10" ht="15" thickBot="1" x14ac:dyDescent="0.35">
      <c r="A47" s="417"/>
      <c r="B47" s="418"/>
      <c r="C47" s="418"/>
      <c r="D47" s="418"/>
      <c r="E47" s="418"/>
      <c r="F47" s="418"/>
      <c r="G47" s="418"/>
      <c r="H47" s="418"/>
      <c r="I47" s="213"/>
    </row>
  </sheetData>
  <mergeCells count="13">
    <mergeCell ref="A44:H47"/>
    <mergeCell ref="A38:C38"/>
    <mergeCell ref="A39:C39"/>
    <mergeCell ref="M7:O7"/>
    <mergeCell ref="A1:D1"/>
    <mergeCell ref="E1:G1"/>
    <mergeCell ref="A31:C31"/>
    <mergeCell ref="A35:C35"/>
    <mergeCell ref="A3:C3"/>
    <mergeCell ref="A8:C8"/>
    <mergeCell ref="A25:C25"/>
    <mergeCell ref="A27:C27"/>
    <mergeCell ref="A29:C29"/>
  </mergeCells>
  <phoneticPr fontId="0" type="noConversion"/>
  <conditionalFormatting sqref="D38:I39">
    <cfRule type="colorScale" priority="1">
      <colorScale>
        <cfvo type="min"/>
        <cfvo type="percentile" val="50"/>
        <cfvo type="max"/>
        <color rgb="FFF8696B"/>
        <color rgb="FFFFEB84"/>
        <color rgb="FF63BE7B"/>
      </colorScale>
    </cfRule>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1" fitToHeight="0" orientation="portrait" r:id="rId1"/>
  <headerFooter alignWithMargins="0">
    <oddHeader>&amp;F</oddHeader>
    <oddFooter>&amp;A&amp;RPage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6"/>
  <sheetViews>
    <sheetView topLeftCell="A8" zoomScale="80" zoomScaleNormal="80" workbookViewId="0">
      <selection activeCell="O20" sqref="O20"/>
    </sheetView>
  </sheetViews>
  <sheetFormatPr defaultColWidth="9.109375" defaultRowHeight="14.4" x14ac:dyDescent="0.3"/>
  <cols>
    <col min="1" max="1" width="41.6640625" style="77" customWidth="1"/>
    <col min="2" max="2" width="18" style="77" customWidth="1"/>
    <col min="3" max="3" width="33.5546875" style="77" customWidth="1"/>
    <col min="4" max="4" width="16.109375" style="77" customWidth="1"/>
    <col min="5" max="8" width="14.33203125" style="77" customWidth="1"/>
    <col min="9" max="9" width="14.44140625" style="77" customWidth="1"/>
    <col min="10" max="11" width="12.6640625" style="77" customWidth="1"/>
    <col min="12" max="14" width="12.6640625" style="77" hidden="1" customWidth="1"/>
    <col min="15" max="25" width="12.6640625" style="77" customWidth="1"/>
    <col min="26" max="16384" width="9.109375" style="77"/>
  </cols>
  <sheetData>
    <row r="1" spans="1:14" ht="29.25" customHeight="1" thickBot="1" x14ac:dyDescent="0.35">
      <c r="A1" s="386" t="s">
        <v>170</v>
      </c>
      <c r="B1" s="387"/>
      <c r="C1" s="387"/>
      <c r="D1" s="387"/>
      <c r="E1" s="388" t="s">
        <v>85</v>
      </c>
      <c r="F1" s="388"/>
      <c r="G1" s="388"/>
      <c r="H1" s="149"/>
    </row>
    <row r="2" spans="1:14" ht="15" thickBot="1" x14ac:dyDescent="0.35">
      <c r="A2" s="78"/>
      <c r="B2" s="79"/>
      <c r="C2" s="80"/>
      <c r="D2" s="80"/>
      <c r="E2" s="80"/>
      <c r="F2" s="80"/>
      <c r="G2" s="80"/>
      <c r="H2" s="80"/>
    </row>
    <row r="3" spans="1:14" ht="27.75" customHeight="1" thickBot="1" x14ac:dyDescent="0.35">
      <c r="A3" s="373" t="s">
        <v>43</v>
      </c>
      <c r="B3" s="389"/>
      <c r="C3" s="389"/>
      <c r="D3" s="82"/>
      <c r="E3" s="148">
        <f>'Pryse + Sensatiwiteitsanali'!B92</f>
        <v>3368</v>
      </c>
      <c r="F3" s="82" t="s">
        <v>44</v>
      </c>
      <c r="G3" s="84"/>
      <c r="H3" s="84"/>
    </row>
    <row r="4" spans="1:14" ht="15" thickBot="1" x14ac:dyDescent="0.35">
      <c r="A4" s="92"/>
      <c r="B4" s="172"/>
      <c r="C4" s="172"/>
      <c r="D4" s="88"/>
      <c r="E4" s="89"/>
      <c r="F4" s="90"/>
      <c r="G4" s="87"/>
      <c r="H4" s="91"/>
    </row>
    <row r="5" spans="1:14" ht="15" thickBot="1" x14ac:dyDescent="0.35">
      <c r="A5" s="92" t="s">
        <v>45</v>
      </c>
      <c r="B5" s="172"/>
      <c r="C5" s="172"/>
      <c r="D5" s="198">
        <v>2</v>
      </c>
      <c r="E5" s="198">
        <v>2.5</v>
      </c>
      <c r="F5" s="198">
        <v>3</v>
      </c>
      <c r="G5" s="198">
        <v>3.5</v>
      </c>
      <c r="H5" s="198">
        <v>4</v>
      </c>
    </row>
    <row r="6" spans="1:14" ht="15" thickBot="1" x14ac:dyDescent="0.35">
      <c r="A6" s="95" t="s">
        <v>46</v>
      </c>
      <c r="B6" s="176"/>
      <c r="C6" s="177"/>
      <c r="D6" s="129">
        <v>6724.48</v>
      </c>
      <c r="E6" s="129">
        <v>8405.5999999999985</v>
      </c>
      <c r="F6" s="129">
        <v>10086.719999999999</v>
      </c>
      <c r="G6" s="129">
        <v>11767.84</v>
      </c>
      <c r="H6" s="129">
        <v>13448.96</v>
      </c>
    </row>
    <row r="7" spans="1:14" ht="15" thickBot="1" x14ac:dyDescent="0.35">
      <c r="A7" s="114"/>
      <c r="B7" s="115"/>
      <c r="C7" s="115"/>
      <c r="D7" s="130"/>
      <c r="E7" s="130"/>
      <c r="F7" s="130"/>
      <c r="G7" s="130"/>
      <c r="H7" s="130"/>
      <c r="L7" s="376" t="s">
        <v>86</v>
      </c>
      <c r="M7" s="376"/>
      <c r="N7" s="376"/>
    </row>
    <row r="8" spans="1:14" ht="15" thickBot="1" x14ac:dyDescent="0.35">
      <c r="A8" s="396" t="s">
        <v>48</v>
      </c>
      <c r="B8" s="397"/>
      <c r="C8" s="398"/>
      <c r="D8" s="131"/>
      <c r="E8" s="131"/>
      <c r="F8" s="131"/>
      <c r="G8" s="131"/>
      <c r="H8" s="131"/>
      <c r="L8" s="68" t="s">
        <v>49</v>
      </c>
      <c r="M8" s="68" t="s">
        <v>50</v>
      </c>
      <c r="N8" s="68" t="s">
        <v>51</v>
      </c>
    </row>
    <row r="9" spans="1:14" x14ac:dyDescent="0.3">
      <c r="A9" s="104" t="s">
        <v>52</v>
      </c>
      <c r="B9" s="105"/>
      <c r="C9" s="105"/>
      <c r="D9" s="132">
        <v>603.12060000000008</v>
      </c>
      <c r="E9" s="132">
        <v>670.13400000000001</v>
      </c>
      <c r="F9" s="132">
        <v>737.14740000000006</v>
      </c>
      <c r="G9" s="132">
        <v>804.16080000000011</v>
      </c>
      <c r="H9" s="132">
        <v>938.18760000000009</v>
      </c>
      <c r="L9" s="69">
        <f>D5</f>
        <v>2</v>
      </c>
      <c r="M9" s="69">
        <f>D25</f>
        <v>9642.2300328593974</v>
      </c>
      <c r="N9" s="69">
        <f>D27</f>
        <v>6918.24</v>
      </c>
    </row>
    <row r="10" spans="1:14" x14ac:dyDescent="0.3">
      <c r="A10" s="107" t="s">
        <v>53</v>
      </c>
      <c r="B10" s="108"/>
      <c r="C10" s="108"/>
      <c r="D10" s="133">
        <v>2597.5100000000002</v>
      </c>
      <c r="E10" s="133">
        <v>3246.8875000000003</v>
      </c>
      <c r="F10" s="133">
        <v>3896.2650000000003</v>
      </c>
      <c r="G10" s="133">
        <v>4545.6425000000008</v>
      </c>
      <c r="H10" s="133">
        <v>5195.0200000000004</v>
      </c>
      <c r="L10" s="69">
        <f>E5</f>
        <v>2.5</v>
      </c>
      <c r="M10" s="69">
        <f>E25</f>
        <v>10311.941900703148</v>
      </c>
      <c r="N10" s="69">
        <f>E27</f>
        <v>6918.24</v>
      </c>
    </row>
    <row r="11" spans="1:14" x14ac:dyDescent="0.3">
      <c r="A11" s="107" t="s">
        <v>54</v>
      </c>
      <c r="B11" s="108"/>
      <c r="C11" s="108"/>
      <c r="D11" s="133">
        <v>266.40000000000003</v>
      </c>
      <c r="E11" s="133">
        <v>266.40000000000003</v>
      </c>
      <c r="F11" s="133">
        <v>266.40000000000003</v>
      </c>
      <c r="G11" s="133">
        <v>266.40000000000003</v>
      </c>
      <c r="H11" s="133">
        <v>266.40000000000003</v>
      </c>
      <c r="L11" s="69">
        <f>F5</f>
        <v>3</v>
      </c>
      <c r="M11" s="69">
        <f>F25</f>
        <v>11372.948211171897</v>
      </c>
      <c r="N11" s="69">
        <f>F27</f>
        <v>6918.24</v>
      </c>
    </row>
    <row r="12" spans="1:14" x14ac:dyDescent="0.3">
      <c r="A12" s="107" t="s">
        <v>55</v>
      </c>
      <c r="B12" s="108"/>
      <c r="C12" s="108"/>
      <c r="D12" s="133">
        <v>2683.1507580000002</v>
      </c>
      <c r="E12" s="133">
        <v>2520.9231080000004</v>
      </c>
      <c r="F12" s="133">
        <v>2727.4063580000002</v>
      </c>
      <c r="G12" s="133">
        <v>2749.5341580000004</v>
      </c>
      <c r="H12" s="133">
        <v>2771.6619580000006</v>
      </c>
      <c r="L12" s="69">
        <f>G5</f>
        <v>3.5</v>
      </c>
      <c r="M12" s="69">
        <f>G25</f>
        <v>12238.307300328152</v>
      </c>
      <c r="N12" s="69">
        <f>G27</f>
        <v>6918.24</v>
      </c>
    </row>
    <row r="13" spans="1:14" x14ac:dyDescent="0.3">
      <c r="A13" s="107" t="s">
        <v>56</v>
      </c>
      <c r="B13" s="108"/>
      <c r="C13" s="108"/>
      <c r="D13" s="133">
        <v>1360.8687</v>
      </c>
      <c r="E13" s="133">
        <v>1366.2637</v>
      </c>
      <c r="F13" s="133">
        <v>1371.6587</v>
      </c>
      <c r="G13" s="133">
        <v>1377.0536999999999</v>
      </c>
      <c r="H13" s="133">
        <v>1382.4486999999999</v>
      </c>
      <c r="L13" s="69">
        <f>H5</f>
        <v>4</v>
      </c>
      <c r="M13" s="69">
        <f>H25</f>
        <v>13174.7843602344</v>
      </c>
      <c r="N13" s="69">
        <f>H27</f>
        <v>6918.24</v>
      </c>
    </row>
    <row r="14" spans="1:14" x14ac:dyDescent="0.3">
      <c r="A14" s="107" t="s">
        <v>57</v>
      </c>
      <c r="B14" s="108"/>
      <c r="C14" s="108"/>
      <c r="D14" s="133">
        <v>394.37116601356621</v>
      </c>
      <c r="E14" s="133">
        <v>394.37116601356621</v>
      </c>
      <c r="F14" s="133">
        <v>394.37116601356621</v>
      </c>
      <c r="G14" s="133">
        <v>394.37116601356621</v>
      </c>
      <c r="H14" s="133">
        <v>394.37116601356621</v>
      </c>
      <c r="L14" s="69" t="e">
        <f>#REF!</f>
        <v>#REF!</v>
      </c>
      <c r="M14" s="69" t="e">
        <f>#REF!</f>
        <v>#REF!</v>
      </c>
      <c r="N14" s="69" t="e">
        <f>#REF!</f>
        <v>#REF!</v>
      </c>
    </row>
    <row r="15" spans="1:14" x14ac:dyDescent="0.3">
      <c r="A15" s="107" t="s">
        <v>58</v>
      </c>
      <c r="B15" s="108"/>
      <c r="C15" s="108"/>
      <c r="D15" s="133">
        <v>594.303</v>
      </c>
      <c r="E15" s="133">
        <v>594.303</v>
      </c>
      <c r="F15" s="133">
        <v>594.303</v>
      </c>
      <c r="G15" s="133">
        <v>594.303</v>
      </c>
      <c r="H15" s="133">
        <v>594.303</v>
      </c>
    </row>
    <row r="16" spans="1:14" x14ac:dyDescent="0.3">
      <c r="A16" s="107" t="s">
        <v>59</v>
      </c>
      <c r="B16" s="108"/>
      <c r="C16" s="108"/>
      <c r="D16" s="133">
        <v>131.34186</v>
      </c>
      <c r="E16" s="133">
        <v>164.177325</v>
      </c>
      <c r="F16" s="133">
        <v>197.01278999999997</v>
      </c>
      <c r="G16" s="133">
        <v>229.84825499999999</v>
      </c>
      <c r="H16" s="133">
        <v>262.68371999999999</v>
      </c>
    </row>
    <row r="17" spans="1:9" x14ac:dyDescent="0.3">
      <c r="A17" s="107" t="s">
        <v>60</v>
      </c>
      <c r="B17" s="108"/>
      <c r="C17" s="108"/>
      <c r="D17" s="133"/>
      <c r="E17" s="133"/>
      <c r="F17" s="133"/>
      <c r="G17" s="133"/>
      <c r="H17" s="133"/>
    </row>
    <row r="18" spans="1:9" x14ac:dyDescent="0.3">
      <c r="A18" s="107" t="s">
        <v>61</v>
      </c>
      <c r="B18" s="108"/>
      <c r="C18" s="108"/>
      <c r="D18" s="133"/>
      <c r="E18" s="133"/>
      <c r="F18" s="133"/>
      <c r="G18" s="133"/>
      <c r="H18" s="133"/>
    </row>
    <row r="19" spans="1:9" x14ac:dyDescent="0.3">
      <c r="A19" s="107" t="s">
        <v>62</v>
      </c>
      <c r="B19" s="108"/>
      <c r="C19" s="108"/>
      <c r="D19" s="133">
        <v>154.66304</v>
      </c>
      <c r="E19" s="133">
        <v>193.32879999999997</v>
      </c>
      <c r="F19" s="133">
        <v>231.99455999999998</v>
      </c>
      <c r="G19" s="133">
        <v>270.66032000000001</v>
      </c>
      <c r="H19" s="133">
        <v>309.32607999999999</v>
      </c>
    </row>
    <row r="20" spans="1:9" x14ac:dyDescent="0.3">
      <c r="A20" s="107" t="s">
        <v>63</v>
      </c>
      <c r="B20" s="108"/>
      <c r="C20" s="108"/>
      <c r="D20" s="133"/>
      <c r="E20" s="133"/>
      <c r="F20" s="133"/>
      <c r="G20" s="133"/>
      <c r="H20" s="133"/>
    </row>
    <row r="21" spans="1:9" x14ac:dyDescent="0.3">
      <c r="A21" s="107" t="s">
        <v>64</v>
      </c>
      <c r="B21" s="108"/>
      <c r="C21" s="108"/>
      <c r="D21" s="133">
        <v>300</v>
      </c>
      <c r="E21" s="133">
        <v>300</v>
      </c>
      <c r="F21" s="133">
        <v>300</v>
      </c>
      <c r="G21" s="133">
        <v>300</v>
      </c>
      <c r="H21" s="133">
        <v>300</v>
      </c>
    </row>
    <row r="22" spans="1:9" x14ac:dyDescent="0.3">
      <c r="A22" s="107" t="s">
        <v>65</v>
      </c>
      <c r="B22" s="108"/>
      <c r="C22" s="108"/>
      <c r="D22" s="133"/>
      <c r="E22" s="133"/>
      <c r="F22" s="133"/>
      <c r="G22" s="133"/>
      <c r="H22" s="133"/>
    </row>
    <row r="23" spans="1:9" x14ac:dyDescent="0.3">
      <c r="A23" s="107" t="str">
        <f>Sonneblom!A23</f>
        <v>Oorlê land koste / overlay costs</v>
      </c>
      <c r="B23" s="108"/>
      <c r="C23" s="108"/>
      <c r="D23" s="133"/>
      <c r="E23" s="133"/>
      <c r="F23" s="133"/>
      <c r="G23" s="133"/>
      <c r="H23" s="133"/>
    </row>
    <row r="24" spans="1:9" ht="15" thickBot="1" x14ac:dyDescent="0.35">
      <c r="A24" s="107" t="s">
        <v>67</v>
      </c>
      <c r="B24" s="108"/>
      <c r="C24" s="108"/>
      <c r="D24" s="133">
        <v>556.50090884583085</v>
      </c>
      <c r="E24" s="133">
        <v>595.15330168958099</v>
      </c>
      <c r="F24" s="133">
        <v>656.38923715833096</v>
      </c>
      <c r="G24" s="133">
        <v>706.33340131458101</v>
      </c>
      <c r="H24" s="133">
        <v>760.38213622083106</v>
      </c>
    </row>
    <row r="25" spans="1:9" ht="15" thickBot="1" x14ac:dyDescent="0.35">
      <c r="A25" s="373" t="s">
        <v>68</v>
      </c>
      <c r="B25" s="374"/>
      <c r="C25" s="375"/>
      <c r="D25" s="134">
        <f>SUM(D9:D24)</f>
        <v>9642.2300328593974</v>
      </c>
      <c r="E25" s="134">
        <f>SUM(E9:E24)</f>
        <v>10311.941900703148</v>
      </c>
      <c r="F25" s="134">
        <f>SUM(F9:F24)</f>
        <v>11372.948211171897</v>
      </c>
      <c r="G25" s="134">
        <f>SUM(G9:G24)</f>
        <v>12238.307300328152</v>
      </c>
      <c r="H25" s="134">
        <f>SUM(H9:H24)</f>
        <v>13174.7843602344</v>
      </c>
    </row>
    <row r="26" spans="1:9" ht="15" thickBot="1" x14ac:dyDescent="0.35">
      <c r="A26" s="111"/>
      <c r="B26" s="112"/>
      <c r="C26" s="112"/>
      <c r="D26" s="135"/>
      <c r="E26" s="135"/>
      <c r="F26" s="135"/>
      <c r="G26" s="135"/>
      <c r="H26" s="135"/>
    </row>
    <row r="27" spans="1:9" ht="15" thickBot="1" x14ac:dyDescent="0.35">
      <c r="A27" s="370" t="s">
        <v>69</v>
      </c>
      <c r="B27" s="371"/>
      <c r="C27" s="372"/>
      <c r="D27" s="136">
        <v>6918.24</v>
      </c>
      <c r="E27" s="137">
        <v>6918.24</v>
      </c>
      <c r="F27" s="137">
        <v>6918.24</v>
      </c>
      <c r="G27" s="137">
        <v>6918.24</v>
      </c>
      <c r="H27" s="137">
        <v>6918.24</v>
      </c>
      <c r="I27" s="151"/>
    </row>
    <row r="28" spans="1:9" ht="15" thickBot="1" x14ac:dyDescent="0.35">
      <c r="A28" s="111"/>
      <c r="B28" s="112"/>
      <c r="C28" s="112"/>
      <c r="D28" s="135"/>
      <c r="E28" s="135"/>
      <c r="F28" s="135"/>
      <c r="G28" s="135"/>
      <c r="H28" s="135"/>
    </row>
    <row r="29" spans="1:9" ht="15" thickBot="1" x14ac:dyDescent="0.35">
      <c r="A29" s="373" t="s">
        <v>70</v>
      </c>
      <c r="B29" s="374"/>
      <c r="C29" s="375"/>
      <c r="D29" s="134">
        <f>D25+D27</f>
        <v>16560.470032859397</v>
      </c>
      <c r="E29" s="134">
        <f t="shared" ref="E29:H29" si="0">E25+E27</f>
        <v>17230.181900703148</v>
      </c>
      <c r="F29" s="134">
        <f t="shared" si="0"/>
        <v>18291.188211171895</v>
      </c>
      <c r="G29" s="134">
        <f t="shared" si="0"/>
        <v>19156.547300328151</v>
      </c>
      <c r="H29" s="134">
        <f t="shared" si="0"/>
        <v>20093.024360234398</v>
      </c>
    </row>
    <row r="30" spans="1:9" ht="12" customHeight="1" thickBot="1" x14ac:dyDescent="0.35">
      <c r="A30" s="114"/>
      <c r="B30" s="115"/>
      <c r="C30" s="115"/>
      <c r="D30" s="138"/>
      <c r="E30" s="138"/>
      <c r="F30" s="138"/>
      <c r="G30" s="138"/>
      <c r="H30" s="138"/>
    </row>
    <row r="31" spans="1:9" ht="15" thickBot="1" x14ac:dyDescent="0.35">
      <c r="A31" s="373" t="s">
        <v>71</v>
      </c>
      <c r="B31" s="389"/>
      <c r="C31" s="390"/>
      <c r="D31" s="134">
        <f>D29/D5</f>
        <v>8280.2350164296986</v>
      </c>
      <c r="E31" s="134">
        <f t="shared" ref="E31:H31" si="1">E29/E5</f>
        <v>6892.0727602812594</v>
      </c>
      <c r="F31" s="134">
        <f t="shared" si="1"/>
        <v>6097.0627370572984</v>
      </c>
      <c r="G31" s="134">
        <f t="shared" si="1"/>
        <v>5473.2992286651861</v>
      </c>
      <c r="H31" s="134">
        <f t="shared" si="1"/>
        <v>5023.2560900585995</v>
      </c>
    </row>
    <row r="32" spans="1:9" ht="15" thickBot="1" x14ac:dyDescent="0.35">
      <c r="A32" s="114"/>
      <c r="B32" s="115"/>
      <c r="C32" s="115"/>
      <c r="D32" s="138"/>
      <c r="E32" s="138"/>
      <c r="F32" s="138"/>
      <c r="G32" s="138"/>
      <c r="H32" s="138"/>
    </row>
    <row r="33" spans="1:9" ht="14.25" customHeight="1" thickBot="1" x14ac:dyDescent="0.35">
      <c r="A33" s="95" t="s">
        <v>72</v>
      </c>
      <c r="B33" s="176"/>
      <c r="C33" s="176"/>
      <c r="D33" s="134">
        <f>'Pryse + Sensatiwiteitsanali'!D7</f>
        <v>132</v>
      </c>
      <c r="E33" s="134">
        <f>$D$33</f>
        <v>132</v>
      </c>
      <c r="F33" s="134">
        <f>$D$33</f>
        <v>132</v>
      </c>
      <c r="G33" s="134">
        <f>$D$33</f>
        <v>132</v>
      </c>
      <c r="H33" s="134">
        <f>$D$33</f>
        <v>132</v>
      </c>
    </row>
    <row r="34" spans="1:9" ht="15" thickBot="1" x14ac:dyDescent="0.35">
      <c r="A34" s="114"/>
      <c r="B34" s="115"/>
      <c r="C34" s="115"/>
      <c r="D34" s="138"/>
      <c r="E34" s="138"/>
      <c r="F34" s="138"/>
      <c r="G34" s="138"/>
      <c r="H34" s="138"/>
    </row>
    <row r="35" spans="1:9" ht="15" thickBot="1" x14ac:dyDescent="0.35">
      <c r="A35" s="403" t="s">
        <v>73</v>
      </c>
      <c r="B35" s="419"/>
      <c r="C35" s="420"/>
      <c r="D35" s="199">
        <f>D31+D33</f>
        <v>8412.2350164296986</v>
      </c>
      <c r="E35" s="199">
        <f>E31+E33</f>
        <v>7024.0727602812594</v>
      </c>
      <c r="F35" s="199">
        <f>F31+F33</f>
        <v>6229.0627370572984</v>
      </c>
      <c r="G35" s="199">
        <f>G31+G33</f>
        <v>5605.2992286651861</v>
      </c>
      <c r="H35" s="199">
        <f>H31+H33</f>
        <v>5155.2560900585995</v>
      </c>
    </row>
    <row r="36" spans="1:9" ht="15" thickBot="1" x14ac:dyDescent="0.35">
      <c r="A36" s="153" t="s">
        <v>74</v>
      </c>
      <c r="B36" s="200"/>
      <c r="C36" s="201"/>
      <c r="D36" s="199">
        <f>'Pryse + Sensatiwiteitsanali'!B7</f>
        <v>3500</v>
      </c>
      <c r="E36" s="199">
        <f>$D$36</f>
        <v>3500</v>
      </c>
      <c r="F36" s="199">
        <f>$D$36</f>
        <v>3500</v>
      </c>
      <c r="G36" s="199">
        <f>$D$36</f>
        <v>3500</v>
      </c>
      <c r="H36" s="199">
        <f>$D$36</f>
        <v>3500</v>
      </c>
    </row>
    <row r="37" spans="1:9" ht="15" thickBot="1" x14ac:dyDescent="0.35">
      <c r="D37" s="140"/>
      <c r="E37" s="140"/>
      <c r="F37" s="140"/>
      <c r="G37" s="140"/>
      <c r="H37" s="140"/>
    </row>
    <row r="38" spans="1:9" s="121" customFormat="1" x14ac:dyDescent="0.3">
      <c r="A38" s="399" t="s">
        <v>75</v>
      </c>
      <c r="B38" s="400"/>
      <c r="C38" s="400"/>
      <c r="D38" s="141">
        <f t="shared" ref="D38:H38" si="2">D6-D25</f>
        <v>-2917.7500328593978</v>
      </c>
      <c r="E38" s="142">
        <f t="shared" si="2"/>
        <v>-1906.3419007031498</v>
      </c>
      <c r="F38" s="141">
        <f t="shared" si="2"/>
        <v>-1286.2282111718978</v>
      </c>
      <c r="G38" s="142">
        <f t="shared" si="2"/>
        <v>-470.4673003281514</v>
      </c>
      <c r="H38" s="141">
        <f t="shared" si="2"/>
        <v>274.17563976559904</v>
      </c>
    </row>
    <row r="39" spans="1:9" s="121" customFormat="1" ht="15" thickBot="1" x14ac:dyDescent="0.35">
      <c r="A39" s="401" t="s">
        <v>76</v>
      </c>
      <c r="B39" s="402"/>
      <c r="C39" s="402"/>
      <c r="D39" s="144">
        <f t="shared" ref="D39:H39" si="3">D6-D29</f>
        <v>-9835.9900328593976</v>
      </c>
      <c r="E39" s="145">
        <f t="shared" si="3"/>
        <v>-8824.5819007031496</v>
      </c>
      <c r="F39" s="144">
        <f t="shared" si="3"/>
        <v>-8204.4682111718957</v>
      </c>
      <c r="G39" s="145">
        <f t="shared" si="3"/>
        <v>-7388.7073003281512</v>
      </c>
      <c r="H39" s="144">
        <f t="shared" si="3"/>
        <v>-6644.0643602343989</v>
      </c>
    </row>
    <row r="40" spans="1:9" x14ac:dyDescent="0.3">
      <c r="A40" s="72" t="s">
        <v>166</v>
      </c>
      <c r="B40" s="122"/>
      <c r="C40" s="122"/>
      <c r="D40" s="122"/>
      <c r="E40" s="122"/>
      <c r="F40" s="122"/>
      <c r="G40" s="122"/>
      <c r="H40" s="123"/>
      <c r="I40" s="124"/>
    </row>
    <row r="41" spans="1:9" x14ac:dyDescent="0.3">
      <c r="A41" s="73" t="s">
        <v>77</v>
      </c>
      <c r="B41" s="125"/>
      <c r="C41" s="125"/>
      <c r="D41" s="125"/>
      <c r="E41" s="125"/>
      <c r="F41" s="125"/>
      <c r="G41" s="125"/>
      <c r="H41" s="126"/>
      <c r="I41" s="124"/>
    </row>
    <row r="42" spans="1:9" ht="15" thickBot="1" x14ac:dyDescent="0.35">
      <c r="A42" s="74" t="s">
        <v>78</v>
      </c>
      <c r="B42" s="127"/>
      <c r="C42" s="127"/>
      <c r="D42" s="127"/>
      <c r="E42" s="127"/>
      <c r="F42" s="127"/>
      <c r="G42" s="127"/>
      <c r="H42" s="128"/>
      <c r="I42" s="124"/>
    </row>
    <row r="43" spans="1:9" x14ac:dyDescent="0.3">
      <c r="A43" s="377" t="s">
        <v>79</v>
      </c>
      <c r="B43" s="378"/>
      <c r="C43" s="378"/>
      <c r="D43" s="378"/>
      <c r="E43" s="378"/>
      <c r="F43" s="378"/>
      <c r="G43" s="378"/>
      <c r="H43" s="379"/>
    </row>
    <row r="44" spans="1:9" x14ac:dyDescent="0.3">
      <c r="A44" s="380"/>
      <c r="B44" s="381"/>
      <c r="C44" s="381"/>
      <c r="D44" s="381"/>
      <c r="E44" s="381"/>
      <c r="F44" s="381"/>
      <c r="G44" s="381"/>
      <c r="H44" s="382"/>
    </row>
    <row r="45" spans="1:9" x14ac:dyDescent="0.3">
      <c r="A45" s="380"/>
      <c r="B45" s="381"/>
      <c r="C45" s="381"/>
      <c r="D45" s="381"/>
      <c r="E45" s="381"/>
      <c r="F45" s="381"/>
      <c r="G45" s="381"/>
      <c r="H45" s="382"/>
    </row>
    <row r="46" spans="1:9" ht="15" thickBot="1" x14ac:dyDescent="0.35">
      <c r="A46" s="383"/>
      <c r="B46" s="384"/>
      <c r="C46" s="384"/>
      <c r="D46" s="384"/>
      <c r="E46" s="384"/>
      <c r="F46" s="384"/>
      <c r="G46" s="384"/>
      <c r="H46" s="385"/>
    </row>
  </sheetData>
  <mergeCells count="13">
    <mergeCell ref="A43:H46"/>
    <mergeCell ref="A38:C38"/>
    <mergeCell ref="A39:C39"/>
    <mergeCell ref="L7:N7"/>
    <mergeCell ref="A1:D1"/>
    <mergeCell ref="E1:G1"/>
    <mergeCell ref="A31:C31"/>
    <mergeCell ref="A35:C35"/>
    <mergeCell ref="A3:C3"/>
    <mergeCell ref="A8:C8"/>
    <mergeCell ref="A25:C25"/>
    <mergeCell ref="A27:C27"/>
    <mergeCell ref="A29:C29"/>
  </mergeCells>
  <phoneticPr fontId="0" type="noConversion"/>
  <conditionalFormatting sqref="D38:H39">
    <cfRule type="colorScale" priority="74">
      <colorScale>
        <cfvo type="min"/>
        <cfvo type="percentile" val="50"/>
        <cfvo type="max"/>
        <color rgb="FFF8696B"/>
        <color rgb="FFFFEB84"/>
        <color rgb="FF63BE7B"/>
      </colorScale>
    </cfRule>
    <cfRule type="colorScale" priority="75">
      <colorScale>
        <cfvo type="min"/>
        <cfvo type="percentile" val="50"/>
        <cfvo type="max"/>
        <color rgb="FFF8696B"/>
        <color rgb="FFFFEB84"/>
        <color rgb="FF63BE7B"/>
      </colorScale>
    </cfRule>
    <cfRule type="colorScale" priority="76">
      <colorScale>
        <cfvo type="min"/>
        <cfvo type="percentile" val="50"/>
        <cfvo type="max"/>
        <color rgb="FFF8696B"/>
        <color rgb="FFFFEB84"/>
        <color rgb="FF63BE7B"/>
      </colorScale>
    </cfRule>
  </conditionalFormatting>
  <pageMargins left="0.35433070866141736" right="0.35433070866141736" top="0.59055118110236227" bottom="0.59055118110236227" header="0.31496062992125984" footer="0.31496062992125984"/>
  <pageSetup paperSize="9" scale="65" fitToHeight="0" orientation="portrait" verticalDpi="300" r:id="rId1"/>
  <headerFooter alignWithMargins="0">
    <oddHeader>&amp;F</oddHeader>
    <oddFooter>&amp;A&amp;RPage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4"/>
  <sheetViews>
    <sheetView topLeftCell="A15" zoomScale="70" zoomScaleNormal="70" workbookViewId="0">
      <selection activeCell="H21" sqref="H21"/>
    </sheetView>
  </sheetViews>
  <sheetFormatPr defaultColWidth="9.109375" defaultRowHeight="14.4" x14ac:dyDescent="0.3"/>
  <cols>
    <col min="1" max="1" width="41.6640625" style="77" customWidth="1"/>
    <col min="2" max="2" width="18" style="77" customWidth="1"/>
    <col min="3" max="3" width="29.109375" style="77" customWidth="1"/>
    <col min="4" max="4" width="21.33203125" style="197" bestFit="1" customWidth="1"/>
    <col min="5" max="5" width="45.6640625" style="77" customWidth="1"/>
    <col min="6" max="6" width="14.44140625" style="77" customWidth="1"/>
    <col min="7" max="22" width="12.6640625" style="77" customWidth="1"/>
    <col min="23" max="16384" width="9.109375" style="77"/>
  </cols>
  <sheetData>
    <row r="1" spans="1:5" ht="30.75" customHeight="1" thickBot="1" x14ac:dyDescent="0.35">
      <c r="A1" s="430" t="s">
        <v>169</v>
      </c>
      <c r="B1" s="387"/>
      <c r="C1" s="387"/>
      <c r="D1" s="387"/>
      <c r="E1" s="67" t="s">
        <v>87</v>
      </c>
    </row>
    <row r="2" spans="1:5" ht="15" thickBot="1" x14ac:dyDescent="0.35">
      <c r="A2" s="78"/>
      <c r="B2" s="79"/>
      <c r="C2" s="80"/>
      <c r="D2" s="157"/>
      <c r="E2" s="80"/>
    </row>
    <row r="3" spans="1:5" s="161" customFormat="1" ht="29.4" thickBot="1" x14ac:dyDescent="0.35">
      <c r="A3" s="158" t="s">
        <v>88</v>
      </c>
      <c r="B3" s="159"/>
      <c r="C3" s="159"/>
      <c r="D3" s="160" t="s">
        <v>89</v>
      </c>
      <c r="E3" s="215" t="s">
        <v>90</v>
      </c>
    </row>
    <row r="4" spans="1:5" s="161" customFormat="1" x14ac:dyDescent="0.3">
      <c r="A4" s="162" t="s">
        <v>91</v>
      </c>
      <c r="B4" s="163"/>
      <c r="C4" s="163"/>
      <c r="D4" s="164">
        <f>'Pryse + Sensatiwiteitsanali'!B8</f>
        <v>21767</v>
      </c>
      <c r="E4" s="165">
        <v>0.2</v>
      </c>
    </row>
    <row r="5" spans="1:5" s="161" customFormat="1" x14ac:dyDescent="0.3">
      <c r="A5" s="162" t="s">
        <v>92</v>
      </c>
      <c r="B5" s="163"/>
      <c r="C5" s="163"/>
      <c r="D5" s="164">
        <f>'Pryse + Sensatiwiteitsanali'!B9</f>
        <v>18150</v>
      </c>
      <c r="E5" s="165">
        <v>0.35</v>
      </c>
    </row>
    <row r="6" spans="1:5" s="161" customFormat="1" x14ac:dyDescent="0.3">
      <c r="A6" s="166" t="s">
        <v>93</v>
      </c>
      <c r="B6" s="163"/>
      <c r="C6" s="163"/>
      <c r="D6" s="164">
        <f>'Pryse + Sensatiwiteitsanali'!B10</f>
        <v>16083</v>
      </c>
      <c r="E6" s="165">
        <v>0.3</v>
      </c>
    </row>
    <row r="7" spans="1:5" s="161" customFormat="1" x14ac:dyDescent="0.3">
      <c r="A7" s="166" t="s">
        <v>94</v>
      </c>
      <c r="B7" s="163"/>
      <c r="C7" s="163"/>
      <c r="D7" s="164">
        <f>'Pryse + Sensatiwiteitsanali'!B11</f>
        <v>5467</v>
      </c>
      <c r="E7" s="165">
        <v>0.1</v>
      </c>
    </row>
    <row r="8" spans="1:5" s="161" customFormat="1" x14ac:dyDescent="0.3">
      <c r="A8" s="166" t="s">
        <v>95</v>
      </c>
      <c r="B8" s="163"/>
      <c r="C8" s="163"/>
      <c r="D8" s="164">
        <f>'Pryse + Sensatiwiteitsanali'!B12</f>
        <v>3517</v>
      </c>
      <c r="E8" s="165">
        <v>0.05</v>
      </c>
    </row>
    <row r="9" spans="1:5" s="161" customFormat="1" ht="15" thickBot="1" x14ac:dyDescent="0.35">
      <c r="A9" s="167" t="s">
        <v>96</v>
      </c>
      <c r="B9" s="168"/>
      <c r="C9" s="168"/>
      <c r="D9" s="164">
        <f>'Pryse + Sensatiwiteitsanali'!B13</f>
        <v>0</v>
      </c>
      <c r="E9" s="169"/>
    </row>
    <row r="10" spans="1:5" s="161" customFormat="1" ht="15" thickBot="1" x14ac:dyDescent="0.35">
      <c r="A10" s="394" t="s">
        <v>97</v>
      </c>
      <c r="B10" s="436"/>
      <c r="C10" s="436"/>
      <c r="D10" s="170">
        <f>(D4*E4)+(D5*E5)+(D6*E6)+(D7*E7)+(D8*E8)</f>
        <v>16253.350000000002</v>
      </c>
      <c r="E10" s="171" t="s">
        <v>44</v>
      </c>
    </row>
    <row r="11" spans="1:5" ht="15" thickBot="1" x14ac:dyDescent="0.35">
      <c r="A11" s="92"/>
      <c r="B11" s="172"/>
      <c r="C11" s="172"/>
      <c r="D11" s="173"/>
      <c r="E11" s="174"/>
    </row>
    <row r="12" spans="1:5" ht="15" thickBot="1" x14ac:dyDescent="0.35">
      <c r="A12" s="92" t="s">
        <v>45</v>
      </c>
      <c r="B12" s="172"/>
      <c r="C12" s="172"/>
      <c r="D12" s="214">
        <v>1.5</v>
      </c>
      <c r="E12" s="93">
        <v>0</v>
      </c>
    </row>
    <row r="13" spans="1:5" ht="15" thickBot="1" x14ac:dyDescent="0.35">
      <c r="A13" s="95" t="s">
        <v>46</v>
      </c>
      <c r="B13" s="176"/>
      <c r="C13" s="177"/>
      <c r="D13" s="178">
        <v>26278.949999999997</v>
      </c>
      <c r="E13" s="98">
        <v>0</v>
      </c>
    </row>
    <row r="14" spans="1:5" ht="15" thickBot="1" x14ac:dyDescent="0.35">
      <c r="A14" s="114"/>
      <c r="B14" s="115"/>
      <c r="C14" s="115"/>
      <c r="D14" s="175"/>
      <c r="E14" s="102"/>
    </row>
    <row r="15" spans="1:5" ht="15" thickBot="1" x14ac:dyDescent="0.35">
      <c r="A15" s="433" t="s">
        <v>48</v>
      </c>
      <c r="B15" s="434"/>
      <c r="C15" s="435"/>
      <c r="D15" s="179"/>
      <c r="E15" s="103"/>
    </row>
    <row r="16" spans="1:5" x14ac:dyDescent="0.3">
      <c r="A16" s="104" t="s">
        <v>52</v>
      </c>
      <c r="B16" s="105"/>
      <c r="C16" s="105"/>
      <c r="D16" s="180">
        <v>900</v>
      </c>
      <c r="E16" s="181"/>
    </row>
    <row r="17" spans="1:5" x14ac:dyDescent="0.3">
      <c r="A17" s="107" t="s">
        <v>53</v>
      </c>
      <c r="B17" s="108"/>
      <c r="C17" s="108"/>
      <c r="D17" s="182">
        <v>2252.5500000000002</v>
      </c>
      <c r="E17" s="183"/>
    </row>
    <row r="18" spans="1:5" x14ac:dyDescent="0.3">
      <c r="A18" s="107" t="s">
        <v>54</v>
      </c>
      <c r="B18" s="108"/>
      <c r="C18" s="108"/>
      <c r="D18" s="182">
        <v>800</v>
      </c>
      <c r="E18" s="183"/>
    </row>
    <row r="19" spans="1:5" x14ac:dyDescent="0.3">
      <c r="A19" s="107" t="s">
        <v>55</v>
      </c>
      <c r="B19" s="108"/>
      <c r="C19" s="108"/>
      <c r="D19" s="182">
        <v>2822.5925140000004</v>
      </c>
      <c r="E19" s="183"/>
    </row>
    <row r="20" spans="1:5" x14ac:dyDescent="0.3">
      <c r="A20" s="107" t="s">
        <v>56</v>
      </c>
      <c r="B20" s="108"/>
      <c r="C20" s="108"/>
      <c r="D20" s="182">
        <v>1775.4466576032387</v>
      </c>
      <c r="E20" s="183"/>
    </row>
    <row r="21" spans="1:5" x14ac:dyDescent="0.3">
      <c r="A21" s="107" t="s">
        <v>57</v>
      </c>
      <c r="B21" s="108"/>
      <c r="C21" s="108"/>
      <c r="D21" s="182">
        <v>1189.5094445220559</v>
      </c>
      <c r="E21" s="183"/>
    </row>
    <row r="22" spans="1:5" x14ac:dyDescent="0.3">
      <c r="A22" s="107" t="s">
        <v>58</v>
      </c>
      <c r="B22" s="108"/>
      <c r="C22" s="108"/>
      <c r="D22" s="182">
        <v>1118.2233330418551</v>
      </c>
      <c r="E22" s="183"/>
    </row>
    <row r="23" spans="1:5" x14ac:dyDescent="0.3">
      <c r="A23" s="107" t="s">
        <v>59</v>
      </c>
      <c r="B23" s="108"/>
      <c r="C23" s="108"/>
      <c r="D23" s="182"/>
      <c r="E23" s="183"/>
    </row>
    <row r="24" spans="1:5" x14ac:dyDescent="0.3">
      <c r="A24" s="107" t="s">
        <v>60</v>
      </c>
      <c r="B24" s="108"/>
      <c r="C24" s="108"/>
      <c r="D24" s="182"/>
      <c r="E24" s="183"/>
    </row>
    <row r="25" spans="1:5" x14ac:dyDescent="0.3">
      <c r="A25" s="107" t="s">
        <v>61</v>
      </c>
      <c r="B25" s="108"/>
      <c r="C25" s="108"/>
      <c r="D25" s="182"/>
      <c r="E25" s="183"/>
    </row>
    <row r="26" spans="1:5" x14ac:dyDescent="0.3">
      <c r="A26" s="107" t="s">
        <v>62</v>
      </c>
      <c r="B26" s="108"/>
      <c r="C26" s="108"/>
      <c r="D26" s="182"/>
      <c r="E26" s="183"/>
    </row>
    <row r="27" spans="1:5" x14ac:dyDescent="0.3">
      <c r="A27" s="107" t="s">
        <v>63</v>
      </c>
      <c r="B27" s="108"/>
      <c r="C27" s="108"/>
      <c r="D27" s="182"/>
      <c r="E27" s="183"/>
    </row>
    <row r="28" spans="1:5" x14ac:dyDescent="0.3">
      <c r="A28" s="107" t="s">
        <v>64</v>
      </c>
      <c r="B28" s="108"/>
      <c r="C28" s="108"/>
      <c r="D28" s="182">
        <v>300</v>
      </c>
      <c r="E28" s="183"/>
    </row>
    <row r="29" spans="1:5" x14ac:dyDescent="0.3">
      <c r="A29" s="107" t="s">
        <v>65</v>
      </c>
      <c r="B29" s="108"/>
      <c r="C29" s="108"/>
      <c r="D29" s="182"/>
      <c r="E29" s="183"/>
    </row>
    <row r="30" spans="1:5" x14ac:dyDescent="0.3">
      <c r="A30" s="107" t="str">
        <f>Graansorghum!A23</f>
        <v>Oorlê land koste / overlay costs</v>
      </c>
      <c r="B30" s="108"/>
      <c r="C30" s="108"/>
      <c r="D30" s="182">
        <v>350</v>
      </c>
      <c r="E30" s="183"/>
    </row>
    <row r="31" spans="1:5" ht="15" thickBot="1" x14ac:dyDescent="0.35">
      <c r="A31" s="107" t="s">
        <v>67</v>
      </c>
      <c r="B31" s="108"/>
      <c r="C31" s="108"/>
      <c r="D31" s="182">
        <v>683.44721938648797</v>
      </c>
      <c r="E31" s="183"/>
    </row>
    <row r="32" spans="1:5" ht="15" thickBot="1" x14ac:dyDescent="0.35">
      <c r="A32" s="373" t="s">
        <v>68</v>
      </c>
      <c r="B32" s="374"/>
      <c r="C32" s="375"/>
      <c r="D32" s="178">
        <f>SUM(D16:D31)</f>
        <v>12191.769168553639</v>
      </c>
      <c r="E32" s="184"/>
    </row>
    <row r="33" spans="1:6" ht="15" thickBot="1" x14ac:dyDescent="0.35">
      <c r="A33" s="111"/>
      <c r="B33" s="112"/>
      <c r="C33" s="112"/>
      <c r="D33" s="185"/>
      <c r="E33" s="113"/>
    </row>
    <row r="34" spans="1:6" ht="13.5" customHeight="1" thickBot="1" x14ac:dyDescent="0.35">
      <c r="A34" s="370" t="s">
        <v>69</v>
      </c>
      <c r="B34" s="371"/>
      <c r="C34" s="372"/>
      <c r="D34" s="186">
        <v>7880.47</v>
      </c>
      <c r="E34" s="110">
        <v>0</v>
      </c>
      <c r="F34" s="151"/>
    </row>
    <row r="35" spans="1:6" ht="15" thickBot="1" x14ac:dyDescent="0.35">
      <c r="A35" s="111"/>
      <c r="B35" s="112"/>
      <c r="C35" s="112"/>
      <c r="D35" s="185"/>
      <c r="E35" s="113"/>
    </row>
    <row r="36" spans="1:6" ht="15" thickBot="1" x14ac:dyDescent="0.35">
      <c r="A36" s="373" t="s">
        <v>70</v>
      </c>
      <c r="B36" s="374"/>
      <c r="C36" s="375"/>
      <c r="D36" s="178">
        <f>D32+D34</f>
        <v>20072.239168553639</v>
      </c>
      <c r="E36" s="110">
        <v>0</v>
      </c>
    </row>
    <row r="37" spans="1:6" ht="15" thickBot="1" x14ac:dyDescent="0.35">
      <c r="A37" s="114"/>
      <c r="B37" s="115"/>
      <c r="C37" s="115"/>
      <c r="D37" s="187"/>
      <c r="E37" s="116"/>
    </row>
    <row r="38" spans="1:6" ht="15" thickBot="1" x14ac:dyDescent="0.35">
      <c r="A38" s="373" t="s">
        <v>71</v>
      </c>
      <c r="B38" s="374"/>
      <c r="C38" s="375"/>
      <c r="D38" s="178">
        <f>D36/D12</f>
        <v>13381.49277903576</v>
      </c>
      <c r="E38" s="110">
        <v>0</v>
      </c>
    </row>
    <row r="39" spans="1:6" ht="15" thickBot="1" x14ac:dyDescent="0.35">
      <c r="A39" s="114"/>
      <c r="B39" s="115"/>
      <c r="C39" s="115"/>
      <c r="D39" s="187"/>
      <c r="E39" s="116"/>
    </row>
    <row r="40" spans="1:6" ht="15" thickBot="1" x14ac:dyDescent="0.35">
      <c r="A40" s="95" t="s">
        <v>72</v>
      </c>
      <c r="B40" s="176"/>
      <c r="C40" s="176"/>
      <c r="D40" s="178">
        <v>63</v>
      </c>
      <c r="E40" s="110">
        <v>0</v>
      </c>
    </row>
    <row r="41" spans="1:6" ht="15" thickBot="1" x14ac:dyDescent="0.35">
      <c r="A41" s="114"/>
      <c r="B41" s="115"/>
      <c r="C41" s="115"/>
      <c r="D41" s="187"/>
      <c r="E41" s="116"/>
    </row>
    <row r="42" spans="1:6" ht="15" thickBot="1" x14ac:dyDescent="0.35">
      <c r="A42" s="386" t="s">
        <v>98</v>
      </c>
      <c r="B42" s="431"/>
      <c r="C42" s="432"/>
      <c r="D42" s="188">
        <f>D38+D40</f>
        <v>13444.49277903576</v>
      </c>
      <c r="E42" s="118">
        <v>0</v>
      </c>
    </row>
    <row r="43" spans="1:6" ht="15" thickBot="1" x14ac:dyDescent="0.35">
      <c r="A43" s="189" t="s">
        <v>99</v>
      </c>
      <c r="B43" s="190"/>
      <c r="C43" s="191"/>
      <c r="D43" s="188">
        <f>'Pryse + Sensatiwiteitsanali'!B8</f>
        <v>21767</v>
      </c>
      <c r="E43" s="118">
        <v>0</v>
      </c>
    </row>
    <row r="44" spans="1:6" ht="15" thickBot="1" x14ac:dyDescent="0.35">
      <c r="A44" s="189" t="s">
        <v>100</v>
      </c>
      <c r="B44" s="190"/>
      <c r="C44" s="191"/>
      <c r="D44" s="188">
        <f>D10</f>
        <v>16253.350000000002</v>
      </c>
      <c r="E44" s="118"/>
    </row>
    <row r="45" spans="1:6" ht="15" thickBot="1" x14ac:dyDescent="0.35">
      <c r="D45" s="192"/>
      <c r="E45" s="193"/>
    </row>
    <row r="46" spans="1:6" s="121" customFormat="1" x14ac:dyDescent="0.3">
      <c r="A46" s="399" t="s">
        <v>75</v>
      </c>
      <c r="B46" s="426"/>
      <c r="C46" s="427"/>
      <c r="D46" s="155">
        <f>D13-D32</f>
        <v>14087.180831446358</v>
      </c>
      <c r="E46" s="70"/>
    </row>
    <row r="47" spans="1:6" s="121" customFormat="1" ht="15" thickBot="1" x14ac:dyDescent="0.35">
      <c r="A47" s="401" t="s">
        <v>76</v>
      </c>
      <c r="B47" s="428"/>
      <c r="C47" s="429"/>
      <c r="D47" s="156">
        <f>D13-D36</f>
        <v>6206.7108314463585</v>
      </c>
      <c r="E47" s="71"/>
    </row>
    <row r="48" spans="1:6" x14ac:dyDescent="0.3">
      <c r="A48" s="72" t="s">
        <v>166</v>
      </c>
      <c r="B48" s="122"/>
      <c r="C48" s="122"/>
      <c r="D48" s="194"/>
      <c r="E48" s="123"/>
      <c r="F48" s="124"/>
    </row>
    <row r="49" spans="1:8" x14ac:dyDescent="0.3">
      <c r="A49" s="73" t="s">
        <v>77</v>
      </c>
      <c r="B49" s="125"/>
      <c r="C49" s="125"/>
      <c r="D49" s="195"/>
      <c r="E49" s="126"/>
      <c r="F49" s="124"/>
    </row>
    <row r="50" spans="1:8" ht="15" thickBot="1" x14ac:dyDescent="0.35">
      <c r="A50" s="74" t="s">
        <v>78</v>
      </c>
      <c r="B50" s="127"/>
      <c r="C50" s="127"/>
      <c r="D50" s="196"/>
      <c r="E50" s="128"/>
      <c r="F50" s="124"/>
    </row>
    <row r="51" spans="1:8" ht="13.2" customHeight="1" x14ac:dyDescent="0.3">
      <c r="A51" s="421" t="s">
        <v>79</v>
      </c>
      <c r="B51" s="422"/>
      <c r="C51" s="422"/>
      <c r="D51" s="422"/>
      <c r="E51" s="423"/>
      <c r="F51" s="154"/>
      <c r="G51" s="154"/>
      <c r="H51" s="154"/>
    </row>
    <row r="52" spans="1:8" ht="13.2" customHeight="1" x14ac:dyDescent="0.3">
      <c r="A52" s="415"/>
      <c r="B52" s="416"/>
      <c r="C52" s="416"/>
      <c r="D52" s="416"/>
      <c r="E52" s="424"/>
      <c r="F52" s="154"/>
      <c r="G52" s="154"/>
      <c r="H52" s="154"/>
    </row>
    <row r="53" spans="1:8" ht="13.2" customHeight="1" x14ac:dyDescent="0.3">
      <c r="A53" s="415"/>
      <c r="B53" s="416"/>
      <c r="C53" s="416"/>
      <c r="D53" s="416"/>
      <c r="E53" s="424"/>
      <c r="F53" s="154"/>
      <c r="G53" s="154"/>
      <c r="H53" s="154"/>
    </row>
    <row r="54" spans="1:8" ht="13.8" customHeight="1" thickBot="1" x14ac:dyDescent="0.35">
      <c r="A54" s="417"/>
      <c r="B54" s="418"/>
      <c r="C54" s="418"/>
      <c r="D54" s="418"/>
      <c r="E54" s="425"/>
      <c r="F54" s="154"/>
      <c r="G54" s="154"/>
      <c r="H54" s="154"/>
    </row>
  </sheetData>
  <mergeCells count="11">
    <mergeCell ref="A51:E54"/>
    <mergeCell ref="A46:C46"/>
    <mergeCell ref="A47:C47"/>
    <mergeCell ref="A1:D1"/>
    <mergeCell ref="A38:C38"/>
    <mergeCell ref="A42:C42"/>
    <mergeCell ref="A15:C15"/>
    <mergeCell ref="A32:C32"/>
    <mergeCell ref="A34:C34"/>
    <mergeCell ref="A36:C36"/>
    <mergeCell ref="A10:C10"/>
  </mergeCells>
  <conditionalFormatting sqref="D46:E47">
    <cfRule type="colorScale" priority="71">
      <colorScale>
        <cfvo type="min"/>
        <cfvo type="percentile" val="50"/>
        <cfvo type="max"/>
        <color rgb="FFF8696B"/>
        <color rgb="FFFFEB84"/>
        <color rgb="FF63BE7B"/>
      </colorScale>
    </cfRule>
    <cfRule type="colorScale" priority="72">
      <colorScale>
        <cfvo type="min"/>
        <cfvo type="percentile" val="50"/>
        <cfvo type="max"/>
        <color rgb="FFF8696B"/>
        <color rgb="FFFFEB84"/>
        <color rgb="FF63BE7B"/>
      </colorScale>
    </cfRule>
    <cfRule type="colorScale" priority="73">
      <colorScale>
        <cfvo type="min"/>
        <cfvo type="percentile" val="50"/>
        <cfvo type="max"/>
        <color rgb="FFF8696B"/>
        <color rgb="FFFFEB84"/>
        <color rgb="FF63BE7B"/>
      </colorScale>
    </cfRule>
  </conditionalFormatting>
  <pageMargins left="0.31496062992125984" right="0.31496062992125984" top="0.55118110236220474" bottom="0.55118110236220474" header="0.31496062992125984" footer="0.31496062992125984"/>
  <pageSetup paperSize="9" scale="63" fitToHeight="0" orientation="portrait" r:id="rId1"/>
  <headerFooter>
    <oddHeader>&amp;F</oddHeader>
    <oddFooter>&amp;A&amp;RPage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6"/>
  <sheetViews>
    <sheetView topLeftCell="A12" zoomScale="70" zoomScaleNormal="70" workbookViewId="0">
      <selection activeCell="Q17" sqref="Q17"/>
    </sheetView>
  </sheetViews>
  <sheetFormatPr defaultColWidth="9.109375" defaultRowHeight="14.4" x14ac:dyDescent="0.3"/>
  <cols>
    <col min="1" max="1" width="41.6640625" style="77" customWidth="1"/>
    <col min="2" max="2" width="18" style="77" customWidth="1"/>
    <col min="3" max="3" width="38.21875" style="77" customWidth="1"/>
    <col min="4" max="4" width="16.109375" style="77" customWidth="1"/>
    <col min="5" max="8" width="14.33203125" style="77" customWidth="1"/>
    <col min="9" max="9" width="14.44140625" style="77" customWidth="1"/>
    <col min="10" max="11" width="12.6640625" style="77" customWidth="1"/>
    <col min="12" max="14" width="12.6640625" style="77" hidden="1" customWidth="1"/>
    <col min="15" max="25" width="12.6640625" style="77" customWidth="1"/>
    <col min="26" max="16384" width="9.109375" style="77"/>
  </cols>
  <sheetData>
    <row r="1" spans="1:14" ht="31.5" customHeight="1" thickBot="1" x14ac:dyDescent="0.35">
      <c r="A1" s="386" t="s">
        <v>101</v>
      </c>
      <c r="B1" s="387"/>
      <c r="C1" s="387"/>
      <c r="D1" s="387"/>
      <c r="E1" s="388" t="s">
        <v>42</v>
      </c>
      <c r="F1" s="388"/>
      <c r="G1" s="388"/>
      <c r="H1" s="75"/>
    </row>
    <row r="2" spans="1:14" ht="15" thickBot="1" x14ac:dyDescent="0.35">
      <c r="A2" s="78"/>
      <c r="B2" s="79"/>
      <c r="C2" s="80"/>
      <c r="D2" s="80"/>
      <c r="E2" s="80"/>
      <c r="F2" s="80"/>
      <c r="G2" s="80"/>
      <c r="H2" s="80"/>
    </row>
    <row r="3" spans="1:14" ht="26.25" customHeight="1" thickBot="1" x14ac:dyDescent="0.35">
      <c r="A3" s="373" t="s">
        <v>43</v>
      </c>
      <c r="B3" s="389"/>
      <c r="C3" s="389"/>
      <c r="D3" s="82"/>
      <c r="E3" s="148">
        <f>'Pryse + Sensatiwiteitsanali'!B79</f>
        <v>8135.51</v>
      </c>
      <c r="F3" s="82" t="s">
        <v>44</v>
      </c>
      <c r="G3" s="84"/>
      <c r="H3" s="84"/>
    </row>
    <row r="4" spans="1:14" ht="15" thickBot="1" x14ac:dyDescent="0.35">
      <c r="A4" s="92"/>
      <c r="B4" s="172"/>
      <c r="C4" s="172"/>
      <c r="D4" s="88"/>
      <c r="E4" s="89"/>
      <c r="F4" s="90"/>
      <c r="G4" s="87"/>
      <c r="H4" s="91"/>
    </row>
    <row r="5" spans="1:14" ht="15" thickBot="1" x14ac:dyDescent="0.35">
      <c r="A5" s="92" t="s">
        <v>45</v>
      </c>
      <c r="B5" s="172"/>
      <c r="C5" s="172"/>
      <c r="D5" s="345">
        <v>1.25</v>
      </c>
      <c r="E5" s="345">
        <v>1.5</v>
      </c>
      <c r="F5" s="345">
        <v>1.75</v>
      </c>
      <c r="G5" s="345">
        <v>2</v>
      </c>
      <c r="H5" s="345">
        <v>2.25</v>
      </c>
    </row>
    <row r="6" spans="1:14" ht="15" thickBot="1" x14ac:dyDescent="0.35">
      <c r="A6" s="95" t="s">
        <v>46</v>
      </c>
      <c r="B6" s="176"/>
      <c r="C6" s="177"/>
      <c r="D6" s="129">
        <v>10169.387500000001</v>
      </c>
      <c r="E6" s="129">
        <v>12203.264999999999</v>
      </c>
      <c r="F6" s="129">
        <v>14237.1425</v>
      </c>
      <c r="G6" s="129">
        <v>16271.02</v>
      </c>
      <c r="H6" s="129">
        <v>18304.897499999999</v>
      </c>
    </row>
    <row r="7" spans="1:14" ht="15" thickBot="1" x14ac:dyDescent="0.35">
      <c r="A7" s="114"/>
      <c r="B7" s="115"/>
      <c r="C7" s="115"/>
      <c r="D7" s="102"/>
      <c r="E7" s="102"/>
      <c r="F7" s="102"/>
      <c r="G7" s="102"/>
      <c r="H7" s="102"/>
      <c r="L7" s="376" t="s">
        <v>102</v>
      </c>
      <c r="M7" s="376"/>
      <c r="N7" s="376"/>
    </row>
    <row r="8" spans="1:14" ht="15" thickBot="1" x14ac:dyDescent="0.35">
      <c r="A8" s="396" t="s">
        <v>48</v>
      </c>
      <c r="B8" s="397"/>
      <c r="C8" s="398"/>
      <c r="D8" s="103"/>
      <c r="E8" s="103"/>
      <c r="F8" s="103"/>
      <c r="G8" s="103"/>
      <c r="H8" s="103"/>
      <c r="L8" s="68" t="s">
        <v>49</v>
      </c>
      <c r="M8" s="68" t="s">
        <v>50</v>
      </c>
      <c r="N8" s="68" t="s">
        <v>51</v>
      </c>
    </row>
    <row r="9" spans="1:14" x14ac:dyDescent="0.3">
      <c r="A9" s="104" t="s">
        <v>52</v>
      </c>
      <c r="B9" s="105"/>
      <c r="C9" s="105"/>
      <c r="D9" s="132">
        <v>1890.4686999999999</v>
      </c>
      <c r="E9" s="132">
        <v>1890.4686999999999</v>
      </c>
      <c r="F9" s="132">
        <v>1890.4686999999999</v>
      </c>
      <c r="G9" s="132">
        <v>1890.4686999999999</v>
      </c>
      <c r="H9" s="132">
        <v>1890.4686999999999</v>
      </c>
      <c r="L9" s="69">
        <f>D5</f>
        <v>1.25</v>
      </c>
      <c r="M9" s="69">
        <f>D25</f>
        <v>14357.108929363194</v>
      </c>
      <c r="N9" s="69">
        <f>D27</f>
        <v>6784.8700000000008</v>
      </c>
    </row>
    <row r="10" spans="1:14" x14ac:dyDescent="0.3">
      <c r="A10" s="107" t="s">
        <v>53</v>
      </c>
      <c r="B10" s="108"/>
      <c r="C10" s="108"/>
      <c r="D10" s="133">
        <v>1957.175</v>
      </c>
      <c r="E10" s="133">
        <v>2292.61</v>
      </c>
      <c r="F10" s="133">
        <v>2628.0450000000001</v>
      </c>
      <c r="G10" s="133">
        <v>2963.4800000000005</v>
      </c>
      <c r="H10" s="133">
        <v>3298.915</v>
      </c>
      <c r="L10" s="69">
        <f>E5</f>
        <v>1.5</v>
      </c>
      <c r="M10" s="69">
        <f>E25</f>
        <v>14958.000796367063</v>
      </c>
      <c r="N10" s="69">
        <f>E27</f>
        <v>6784.8700000000008</v>
      </c>
    </row>
    <row r="11" spans="1:14" x14ac:dyDescent="0.3">
      <c r="A11" s="107" t="s">
        <v>54</v>
      </c>
      <c r="B11" s="108"/>
      <c r="C11" s="108"/>
      <c r="D11" s="133">
        <v>800</v>
      </c>
      <c r="E11" s="133">
        <v>800</v>
      </c>
      <c r="F11" s="133">
        <v>800</v>
      </c>
      <c r="G11" s="133">
        <v>800</v>
      </c>
      <c r="H11" s="133">
        <v>800</v>
      </c>
      <c r="L11" s="69">
        <f>F5</f>
        <v>1.75</v>
      </c>
      <c r="M11" s="69">
        <f>F25</f>
        <v>15558.892663370931</v>
      </c>
      <c r="N11" s="69">
        <f>F27</f>
        <v>6784.8700000000008</v>
      </c>
    </row>
    <row r="12" spans="1:14" x14ac:dyDescent="0.3">
      <c r="A12" s="107" t="s">
        <v>55</v>
      </c>
      <c r="B12" s="108"/>
      <c r="C12" s="108"/>
      <c r="D12" s="133">
        <v>1990.994807</v>
      </c>
      <c r="E12" s="133">
        <v>2010.2923070000002</v>
      </c>
      <c r="F12" s="133">
        <v>2029.5898070000003</v>
      </c>
      <c r="G12" s="133">
        <v>2048.887307</v>
      </c>
      <c r="H12" s="133">
        <v>2068.1848070000001</v>
      </c>
      <c r="L12" s="69">
        <f>G5</f>
        <v>2</v>
      </c>
      <c r="M12" s="69">
        <f>G25</f>
        <v>16159.784530374804</v>
      </c>
      <c r="N12" s="69">
        <f>G27</f>
        <v>6784.8700000000008</v>
      </c>
    </row>
    <row r="13" spans="1:14" x14ac:dyDescent="0.3">
      <c r="A13" s="107" t="s">
        <v>56</v>
      </c>
      <c r="B13" s="108"/>
      <c r="C13" s="108"/>
      <c r="D13" s="133">
        <v>1190.7364666666665</v>
      </c>
      <c r="E13" s="133">
        <v>1191.9247999999998</v>
      </c>
      <c r="F13" s="133">
        <v>1193.1131333333333</v>
      </c>
      <c r="G13" s="133">
        <v>1194.3014666666666</v>
      </c>
      <c r="H13" s="133">
        <v>1195.4897999999998</v>
      </c>
      <c r="L13" s="69">
        <f>H5</f>
        <v>2.25</v>
      </c>
      <c r="M13" s="69">
        <f>H25</f>
        <v>16760.676397378669</v>
      </c>
      <c r="N13" s="69">
        <f>H27</f>
        <v>6784.8700000000008</v>
      </c>
    </row>
    <row r="14" spans="1:14" x14ac:dyDescent="0.3">
      <c r="A14" s="107" t="s">
        <v>57</v>
      </c>
      <c r="B14" s="108"/>
      <c r="C14" s="108"/>
      <c r="D14" s="133">
        <v>856.27980000000002</v>
      </c>
      <c r="E14" s="133">
        <v>856.27980000000002</v>
      </c>
      <c r="F14" s="133">
        <v>856.27980000000002</v>
      </c>
      <c r="G14" s="133">
        <v>856.27980000000002</v>
      </c>
      <c r="H14" s="133">
        <v>856.27980000000002</v>
      </c>
      <c r="L14" s="69" t="e">
        <f>#REF!</f>
        <v>#REF!</v>
      </c>
      <c r="M14" s="69" t="e">
        <f>#REF!</f>
        <v>#REF!</v>
      </c>
      <c r="N14" s="69" t="e">
        <f>#REF!</f>
        <v>#REF!</v>
      </c>
    </row>
    <row r="15" spans="1:14" x14ac:dyDescent="0.3">
      <c r="A15" s="107" t="s">
        <v>58</v>
      </c>
      <c r="B15" s="108"/>
      <c r="C15" s="108"/>
      <c r="D15" s="133">
        <v>863.12400000000002</v>
      </c>
      <c r="E15" s="133">
        <v>863.12400000000002</v>
      </c>
      <c r="F15" s="133">
        <v>863.12400000000002</v>
      </c>
      <c r="G15" s="133">
        <v>863.12400000000002</v>
      </c>
      <c r="H15" s="133">
        <v>863.12400000000002</v>
      </c>
    </row>
    <row r="16" spans="1:14" x14ac:dyDescent="0.3">
      <c r="A16" s="107" t="s">
        <v>59</v>
      </c>
      <c r="B16" s="108"/>
      <c r="C16" s="108"/>
      <c r="D16" s="133"/>
      <c r="E16" s="133"/>
      <c r="F16" s="133"/>
      <c r="G16" s="133"/>
      <c r="H16" s="133"/>
    </row>
    <row r="17" spans="1:9" x14ac:dyDescent="0.3">
      <c r="A17" s="107" t="s">
        <v>60</v>
      </c>
      <c r="B17" s="108"/>
      <c r="C17" s="108"/>
      <c r="D17" s="133">
        <v>554.16397058472467</v>
      </c>
      <c r="E17" s="133">
        <v>581.40557992288132</v>
      </c>
      <c r="F17" s="133">
        <v>608.64718926103785</v>
      </c>
      <c r="G17" s="133">
        <v>635.88879859919462</v>
      </c>
      <c r="H17" s="133">
        <v>663.13040793735104</v>
      </c>
    </row>
    <row r="18" spans="1:9" x14ac:dyDescent="0.3">
      <c r="A18" s="107" t="s">
        <v>61</v>
      </c>
      <c r="B18" s="108"/>
      <c r="C18" s="108"/>
      <c r="D18" s="133"/>
      <c r="E18" s="133"/>
      <c r="F18" s="133"/>
      <c r="G18" s="133"/>
      <c r="H18" s="133"/>
    </row>
    <row r="19" spans="1:9" x14ac:dyDescent="0.3">
      <c r="A19" s="107" t="s">
        <v>62</v>
      </c>
      <c r="B19" s="108"/>
      <c r="C19" s="108"/>
      <c r="D19" s="133">
        <v>915.24487499999998</v>
      </c>
      <c r="E19" s="133">
        <v>1098.29385</v>
      </c>
      <c r="F19" s="133">
        <v>1281.3428249999999</v>
      </c>
      <c r="G19" s="133">
        <v>1464.3917999999999</v>
      </c>
      <c r="H19" s="133">
        <v>1647.4407749999998</v>
      </c>
    </row>
    <row r="20" spans="1:9" x14ac:dyDescent="0.3">
      <c r="A20" s="107" t="s">
        <v>63</v>
      </c>
      <c r="B20" s="108"/>
      <c r="C20" s="108"/>
      <c r="D20" s="133">
        <v>200</v>
      </c>
      <c r="E20" s="133">
        <v>200</v>
      </c>
      <c r="F20" s="133">
        <v>200</v>
      </c>
      <c r="G20" s="133">
        <v>200</v>
      </c>
      <c r="H20" s="133">
        <v>200</v>
      </c>
    </row>
    <row r="21" spans="1:9" x14ac:dyDescent="0.3">
      <c r="A21" s="107" t="s">
        <v>64</v>
      </c>
      <c r="B21" s="108"/>
      <c r="C21" s="108"/>
      <c r="D21" s="133">
        <v>300</v>
      </c>
      <c r="E21" s="133">
        <v>300</v>
      </c>
      <c r="F21" s="133">
        <v>300</v>
      </c>
      <c r="G21" s="133">
        <v>300</v>
      </c>
      <c r="H21" s="133">
        <v>300</v>
      </c>
    </row>
    <row r="22" spans="1:9" x14ac:dyDescent="0.3">
      <c r="A22" s="107" t="s">
        <v>65</v>
      </c>
      <c r="B22" s="108"/>
      <c r="C22" s="108"/>
      <c r="D22" s="133"/>
      <c r="E22" s="133"/>
      <c r="F22" s="133"/>
      <c r="G22" s="133"/>
      <c r="H22" s="133"/>
    </row>
    <row r="23" spans="1:9" x14ac:dyDescent="0.3">
      <c r="A23" s="107" t="str">
        <f>Graansorghum!A23</f>
        <v>Oorlê land koste / overlay costs</v>
      </c>
      <c r="B23" s="108"/>
      <c r="C23" s="108"/>
      <c r="D23" s="133">
        <v>2010.301360125</v>
      </c>
      <c r="E23" s="133">
        <v>2010.301360125</v>
      </c>
      <c r="F23" s="133">
        <v>2010.301360125</v>
      </c>
      <c r="G23" s="133">
        <v>2010.301360125</v>
      </c>
      <c r="H23" s="133">
        <v>2010.301360125</v>
      </c>
    </row>
    <row r="24" spans="1:9" ht="15" thickBot="1" x14ac:dyDescent="0.35">
      <c r="A24" s="107" t="s">
        <v>67</v>
      </c>
      <c r="B24" s="108"/>
      <c r="C24" s="108"/>
      <c r="D24" s="133">
        <v>828.61994998680404</v>
      </c>
      <c r="E24" s="133">
        <v>863.3003993191827</v>
      </c>
      <c r="F24" s="133">
        <v>897.98084865156136</v>
      </c>
      <c r="G24" s="133">
        <v>932.66129798394047</v>
      </c>
      <c r="H24" s="133">
        <v>967.3417473163189</v>
      </c>
    </row>
    <row r="25" spans="1:9" ht="15" thickBot="1" x14ac:dyDescent="0.35">
      <c r="A25" s="373" t="s">
        <v>68</v>
      </c>
      <c r="B25" s="374"/>
      <c r="C25" s="375"/>
      <c r="D25" s="134">
        <f>SUM(D9:D24)</f>
        <v>14357.108929363194</v>
      </c>
      <c r="E25" s="134">
        <f>SUM(E9:E24)</f>
        <v>14958.000796367063</v>
      </c>
      <c r="F25" s="134">
        <f>SUM(F9:F24)</f>
        <v>15558.892663370931</v>
      </c>
      <c r="G25" s="134">
        <f>SUM(G9:G24)</f>
        <v>16159.784530374804</v>
      </c>
      <c r="H25" s="134">
        <f>SUM(H9:H24)</f>
        <v>16760.676397378669</v>
      </c>
    </row>
    <row r="26" spans="1:9" ht="15" thickBot="1" x14ac:dyDescent="0.35">
      <c r="A26" s="111"/>
      <c r="B26" s="112"/>
      <c r="C26" s="112"/>
      <c r="D26" s="135"/>
      <c r="E26" s="135"/>
      <c r="F26" s="135"/>
      <c r="G26" s="135"/>
      <c r="H26" s="135"/>
    </row>
    <row r="27" spans="1:9" ht="15" thickBot="1" x14ac:dyDescent="0.35">
      <c r="A27" s="370" t="s">
        <v>69</v>
      </c>
      <c r="B27" s="371"/>
      <c r="C27" s="372"/>
      <c r="D27" s="136">
        <v>6784.8700000000008</v>
      </c>
      <c r="E27" s="137">
        <v>6784.8700000000008</v>
      </c>
      <c r="F27" s="137">
        <v>6784.8700000000008</v>
      </c>
      <c r="G27" s="137">
        <v>6784.8700000000008</v>
      </c>
      <c r="H27" s="137">
        <v>6784.8700000000008</v>
      </c>
      <c r="I27" s="151"/>
    </row>
    <row r="28" spans="1:9" ht="15" thickBot="1" x14ac:dyDescent="0.35">
      <c r="A28" s="111"/>
      <c r="B28" s="112"/>
      <c r="C28" s="112"/>
      <c r="D28" s="135"/>
      <c r="E28" s="135"/>
      <c r="F28" s="135"/>
      <c r="G28" s="135"/>
      <c r="H28" s="135"/>
    </row>
    <row r="29" spans="1:9" ht="15" thickBot="1" x14ac:dyDescent="0.35">
      <c r="A29" s="373" t="s">
        <v>70</v>
      </c>
      <c r="B29" s="374"/>
      <c r="C29" s="375"/>
      <c r="D29" s="134">
        <f>D25+D27</f>
        <v>21141.978929363195</v>
      </c>
      <c r="E29" s="134">
        <f t="shared" ref="E29:H29" si="0">E25+E27</f>
        <v>21742.870796367064</v>
      </c>
      <c r="F29" s="134">
        <f t="shared" si="0"/>
        <v>22343.76266337093</v>
      </c>
      <c r="G29" s="134">
        <f t="shared" si="0"/>
        <v>22944.654530374806</v>
      </c>
      <c r="H29" s="134">
        <f t="shared" si="0"/>
        <v>23545.546397378668</v>
      </c>
    </row>
    <row r="30" spans="1:9" ht="15" thickBot="1" x14ac:dyDescent="0.35">
      <c r="A30" s="114"/>
      <c r="B30" s="115"/>
      <c r="C30" s="115"/>
      <c r="D30" s="138"/>
      <c r="E30" s="138"/>
      <c r="F30" s="138"/>
      <c r="G30" s="138"/>
      <c r="H30" s="138"/>
    </row>
    <row r="31" spans="1:9" ht="15" thickBot="1" x14ac:dyDescent="0.35">
      <c r="A31" s="373" t="s">
        <v>71</v>
      </c>
      <c r="B31" s="389"/>
      <c r="C31" s="390"/>
      <c r="D31" s="134">
        <f>D29/D5</f>
        <v>16913.583143490556</v>
      </c>
      <c r="E31" s="134">
        <f t="shared" ref="E31:H31" si="1">E29/E5</f>
        <v>14495.247197578043</v>
      </c>
      <c r="F31" s="134">
        <f t="shared" si="1"/>
        <v>12767.864379069102</v>
      </c>
      <c r="G31" s="134">
        <f t="shared" si="1"/>
        <v>11472.327265187403</v>
      </c>
      <c r="H31" s="134">
        <f t="shared" si="1"/>
        <v>10464.687287723853</v>
      </c>
    </row>
    <row r="32" spans="1:9" ht="15" thickBot="1" x14ac:dyDescent="0.35">
      <c r="A32" s="114"/>
      <c r="B32" s="115"/>
      <c r="C32" s="115"/>
      <c r="D32" s="138"/>
      <c r="E32" s="138"/>
      <c r="F32" s="138"/>
      <c r="G32" s="138"/>
      <c r="H32" s="138"/>
    </row>
    <row r="33" spans="1:9" ht="15" thickBot="1" x14ac:dyDescent="0.35">
      <c r="A33" s="95" t="s">
        <v>72</v>
      </c>
      <c r="B33" s="176"/>
      <c r="C33" s="176"/>
      <c r="D33" s="134">
        <f>'Pryse + Sensatiwiteitsanali'!$D$6</f>
        <v>209.49</v>
      </c>
      <c r="E33" s="134">
        <f>'Pryse + Sensatiwiteitsanali'!$D$6</f>
        <v>209.49</v>
      </c>
      <c r="F33" s="134">
        <f>'Pryse + Sensatiwiteitsanali'!$D$6</f>
        <v>209.49</v>
      </c>
      <c r="G33" s="134">
        <f>'Pryse + Sensatiwiteitsanali'!$D$6</f>
        <v>209.49</v>
      </c>
      <c r="H33" s="134">
        <f>'Pryse + Sensatiwiteitsanali'!$D$6</f>
        <v>209.49</v>
      </c>
    </row>
    <row r="34" spans="1:9" ht="15" thickBot="1" x14ac:dyDescent="0.35">
      <c r="A34" s="114"/>
      <c r="B34" s="115"/>
      <c r="C34" s="115"/>
      <c r="D34" s="138"/>
      <c r="E34" s="138"/>
      <c r="F34" s="138"/>
      <c r="G34" s="138"/>
      <c r="H34" s="138"/>
    </row>
    <row r="35" spans="1:9" ht="15" thickBot="1" x14ac:dyDescent="0.35">
      <c r="A35" s="386" t="s">
        <v>73</v>
      </c>
      <c r="B35" s="437"/>
      <c r="C35" s="438"/>
      <c r="D35" s="139">
        <f>D31+D33</f>
        <v>17123.073143490557</v>
      </c>
      <c r="E35" s="139">
        <f>E31+E33</f>
        <v>14704.737197578042</v>
      </c>
      <c r="F35" s="139">
        <f>F31+F33</f>
        <v>12977.354379069102</v>
      </c>
      <c r="G35" s="139">
        <f>G31+G33</f>
        <v>11681.817265187403</v>
      </c>
      <c r="H35" s="139">
        <f>H31+H33</f>
        <v>10674.177287723853</v>
      </c>
    </row>
    <row r="36" spans="1:9" ht="15" thickBot="1" x14ac:dyDescent="0.35">
      <c r="A36" s="189" t="s">
        <v>74</v>
      </c>
      <c r="B36" s="190"/>
      <c r="C36" s="191"/>
      <c r="D36" s="139">
        <f>'Pryse + Sensatiwiteitsanali'!B6</f>
        <v>8345</v>
      </c>
      <c r="E36" s="139">
        <f>$D$36</f>
        <v>8345</v>
      </c>
      <c r="F36" s="139">
        <f>$D$36</f>
        <v>8345</v>
      </c>
      <c r="G36" s="139">
        <f>$D$36</f>
        <v>8345</v>
      </c>
      <c r="H36" s="139">
        <f>$D$36</f>
        <v>8345</v>
      </c>
    </row>
    <row r="37" spans="1:9" ht="15" thickBot="1" x14ac:dyDescent="0.35">
      <c r="D37" s="140"/>
      <c r="E37" s="140"/>
      <c r="F37" s="140"/>
      <c r="G37" s="140"/>
      <c r="H37" s="140"/>
    </row>
    <row r="38" spans="1:9" s="121" customFormat="1" x14ac:dyDescent="0.3">
      <c r="A38" s="399" t="s">
        <v>75</v>
      </c>
      <c r="B38" s="400"/>
      <c r="C38" s="400"/>
      <c r="D38" s="141">
        <f t="shared" ref="D38:H38" si="2">D6-D25</f>
        <v>-4187.7214293631932</v>
      </c>
      <c r="E38" s="142">
        <f t="shared" si="2"/>
        <v>-2754.7357963670638</v>
      </c>
      <c r="F38" s="141">
        <f t="shared" si="2"/>
        <v>-1321.7501633709307</v>
      </c>
      <c r="G38" s="142">
        <f t="shared" si="2"/>
        <v>111.23546962519686</v>
      </c>
      <c r="H38" s="141">
        <f t="shared" si="2"/>
        <v>1544.2211026213299</v>
      </c>
    </row>
    <row r="39" spans="1:9" s="121" customFormat="1" ht="15" thickBot="1" x14ac:dyDescent="0.35">
      <c r="A39" s="401" t="s">
        <v>76</v>
      </c>
      <c r="B39" s="402"/>
      <c r="C39" s="402"/>
      <c r="D39" s="144">
        <f t="shared" ref="D39:H39" si="3">D6-D29</f>
        <v>-10972.591429363194</v>
      </c>
      <c r="E39" s="145">
        <f t="shared" si="3"/>
        <v>-9539.6057963670646</v>
      </c>
      <c r="F39" s="144">
        <f t="shared" si="3"/>
        <v>-8106.6201633709297</v>
      </c>
      <c r="G39" s="145">
        <f t="shared" si="3"/>
        <v>-6673.6345303748058</v>
      </c>
      <c r="H39" s="144">
        <f t="shared" si="3"/>
        <v>-5240.6488973786691</v>
      </c>
    </row>
    <row r="40" spans="1:9" x14ac:dyDescent="0.3">
      <c r="A40" s="72" t="s">
        <v>166</v>
      </c>
      <c r="B40" s="122"/>
      <c r="C40" s="122"/>
      <c r="D40" s="122"/>
      <c r="E40" s="122"/>
      <c r="F40" s="122"/>
      <c r="G40" s="122"/>
      <c r="H40" s="123"/>
      <c r="I40" s="124"/>
    </row>
    <row r="41" spans="1:9" x14ac:dyDescent="0.3">
      <c r="A41" s="73" t="s">
        <v>77</v>
      </c>
      <c r="B41" s="125"/>
      <c r="C41" s="125"/>
      <c r="D41" s="125"/>
      <c r="E41" s="125"/>
      <c r="F41" s="125"/>
      <c r="G41" s="125"/>
      <c r="H41" s="126"/>
      <c r="I41" s="124"/>
    </row>
    <row r="42" spans="1:9" ht="15" thickBot="1" x14ac:dyDescent="0.35">
      <c r="A42" s="73" t="s">
        <v>78</v>
      </c>
      <c r="B42" s="125"/>
      <c r="C42" s="125"/>
      <c r="D42" s="125"/>
      <c r="E42" s="125"/>
      <c r="F42" s="125"/>
      <c r="G42" s="125"/>
      <c r="H42" s="126"/>
      <c r="I42" s="124"/>
    </row>
    <row r="43" spans="1:9" x14ac:dyDescent="0.3">
      <c r="A43" s="421" t="s">
        <v>79</v>
      </c>
      <c r="B43" s="422"/>
      <c r="C43" s="422"/>
      <c r="D43" s="422"/>
      <c r="E43" s="422"/>
      <c r="F43" s="346"/>
      <c r="G43" s="346"/>
      <c r="H43" s="344"/>
    </row>
    <row r="44" spans="1:9" x14ac:dyDescent="0.3">
      <c r="A44" s="415"/>
      <c r="B44" s="416"/>
      <c r="C44" s="416"/>
      <c r="D44" s="416"/>
      <c r="E44" s="416"/>
      <c r="F44" s="340"/>
      <c r="G44" s="340"/>
      <c r="H44" s="212"/>
    </row>
    <row r="45" spans="1:9" x14ac:dyDescent="0.3">
      <c r="A45" s="415"/>
      <c r="B45" s="416"/>
      <c r="C45" s="416"/>
      <c r="D45" s="416"/>
      <c r="E45" s="416"/>
      <c r="F45" s="340"/>
      <c r="G45" s="340"/>
      <c r="H45" s="212"/>
    </row>
    <row r="46" spans="1:9" ht="15" thickBot="1" x14ac:dyDescent="0.35">
      <c r="A46" s="417"/>
      <c r="B46" s="418"/>
      <c r="C46" s="418"/>
      <c r="D46" s="418"/>
      <c r="E46" s="418"/>
      <c r="F46" s="347"/>
      <c r="G46" s="347"/>
      <c r="H46" s="213"/>
    </row>
  </sheetData>
  <mergeCells count="13">
    <mergeCell ref="A43:E46"/>
    <mergeCell ref="A38:C38"/>
    <mergeCell ref="A39:C39"/>
    <mergeCell ref="L7:N7"/>
    <mergeCell ref="A1:D1"/>
    <mergeCell ref="E1:G1"/>
    <mergeCell ref="A31:C31"/>
    <mergeCell ref="A35:C35"/>
    <mergeCell ref="A3:C3"/>
    <mergeCell ref="A8:C8"/>
    <mergeCell ref="A25:C25"/>
    <mergeCell ref="A27:C27"/>
    <mergeCell ref="A29:C29"/>
  </mergeCells>
  <conditionalFormatting sqref="D38:H39">
    <cfRule type="colorScale" priority="68">
      <colorScale>
        <cfvo type="min"/>
        <cfvo type="percentile" val="50"/>
        <cfvo type="max"/>
        <color rgb="FFF8696B"/>
        <color rgb="FFFFEB84"/>
        <color rgb="FF63BE7B"/>
      </colorScale>
    </cfRule>
    <cfRule type="colorScale" priority="69">
      <colorScale>
        <cfvo type="min"/>
        <cfvo type="percentile" val="50"/>
        <cfvo type="max"/>
        <color rgb="FFF8696B"/>
        <color rgb="FFFFEB84"/>
        <color rgb="FF63BE7B"/>
      </colorScale>
    </cfRule>
    <cfRule type="colorScale" priority="70">
      <colorScale>
        <cfvo type="min"/>
        <cfvo type="percentile" val="50"/>
        <cfvo type="max"/>
        <color rgb="FFF8696B"/>
        <color rgb="FFFFEB84"/>
        <color rgb="FF63BE7B"/>
      </colorScale>
    </cfRule>
  </conditionalFormatting>
  <pageMargins left="0.70866141732283472" right="0.70866141732283472" top="0.74803149606299213" bottom="0.74803149606299213" header="0.31496062992125984" footer="0.31496062992125984"/>
  <pageSetup scale="61" fitToHeight="0" orientation="portrait" r:id="rId1"/>
  <headerFooter>
    <oddHeader>&amp;F</oddHeader>
    <oddFooter>&amp;A&amp;RPage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85"/>
  <sheetViews>
    <sheetView topLeftCell="A12" zoomScale="70" zoomScaleNormal="70" workbookViewId="0">
      <selection activeCell="K3" sqref="K3"/>
    </sheetView>
  </sheetViews>
  <sheetFormatPr defaultColWidth="9.109375" defaultRowHeight="14.4" x14ac:dyDescent="0.3"/>
  <cols>
    <col min="1" max="1" width="63.21875" style="273" bestFit="1" customWidth="1"/>
    <col min="2" max="2" width="21.109375" style="273" customWidth="1"/>
    <col min="3" max="3" width="19.44140625" style="273" customWidth="1"/>
    <col min="4" max="4" width="17.21875" style="273" bestFit="1" customWidth="1"/>
    <col min="5" max="6" width="16.21875" style="273" bestFit="1" customWidth="1"/>
    <col min="7" max="7" width="18.33203125" style="273" customWidth="1"/>
    <col min="8" max="8" width="16" style="273" customWidth="1"/>
    <col min="9" max="9" width="12" style="273" bestFit="1" customWidth="1"/>
    <col min="10" max="10" width="10.88671875" style="273" bestFit="1" customWidth="1"/>
    <col min="11" max="11" width="61.33203125" style="273" bestFit="1" customWidth="1"/>
    <col min="12" max="12" width="7.6640625" style="273" customWidth="1"/>
    <col min="13" max="16384" width="9.109375" style="273"/>
  </cols>
  <sheetData>
    <row r="1" spans="1:12" ht="29.4" thickBot="1" x14ac:dyDescent="0.35">
      <c r="A1" s="216" t="s">
        <v>171</v>
      </c>
      <c r="B1" s="272" t="s">
        <v>103</v>
      </c>
      <c r="C1" s="272" t="s">
        <v>104</v>
      </c>
      <c r="D1" s="272" t="s">
        <v>105</v>
      </c>
      <c r="E1" s="272" t="s">
        <v>106</v>
      </c>
      <c r="F1" s="272" t="s">
        <v>107</v>
      </c>
      <c r="G1" s="272" t="s">
        <v>108</v>
      </c>
      <c r="H1" s="272" t="s">
        <v>109</v>
      </c>
      <c r="I1" s="272"/>
    </row>
    <row r="2" spans="1:12" x14ac:dyDescent="0.3">
      <c r="A2" s="217" t="s">
        <v>110</v>
      </c>
      <c r="B2" s="218" t="s">
        <v>111</v>
      </c>
      <c r="C2" s="218" t="s">
        <v>112</v>
      </c>
      <c r="D2" s="218" t="s">
        <v>113</v>
      </c>
      <c r="E2" s="218" t="s">
        <v>114</v>
      </c>
      <c r="F2" s="218" t="s">
        <v>115</v>
      </c>
      <c r="G2" s="218" t="s">
        <v>116</v>
      </c>
      <c r="H2" s="219" t="s">
        <v>117</v>
      </c>
      <c r="I2" s="272"/>
      <c r="K2" s="273" t="s">
        <v>177</v>
      </c>
    </row>
    <row r="3" spans="1:12" x14ac:dyDescent="0.3">
      <c r="A3" s="220" t="s">
        <v>118</v>
      </c>
      <c r="B3" s="264"/>
      <c r="C3" s="264"/>
      <c r="D3" s="265"/>
      <c r="E3" s="265"/>
      <c r="F3" s="265"/>
      <c r="G3" s="265"/>
      <c r="H3" s="221"/>
      <c r="I3" s="272"/>
      <c r="K3" s="256" t="s">
        <v>119</v>
      </c>
      <c r="L3" s="348">
        <v>4.9000000000000004</v>
      </c>
    </row>
    <row r="4" spans="1:12" x14ac:dyDescent="0.3">
      <c r="A4" s="242" t="s">
        <v>120</v>
      </c>
      <c r="B4" s="268">
        <f>'W-RR mielies Laer opbrengs '!F5</f>
        <v>4</v>
      </c>
      <c r="C4" s="268">
        <f>'W-RR mielies Hoer opbrengs  '!F5</f>
        <v>6</v>
      </c>
      <c r="D4" s="269">
        <f>L3</f>
        <v>4.9000000000000004</v>
      </c>
      <c r="E4" s="269">
        <f>L5</f>
        <v>1.4279999999999999</v>
      </c>
      <c r="F4" s="269">
        <f>L4</f>
        <v>2.0329999999999999</v>
      </c>
      <c r="G4" s="270">
        <f>L6</f>
        <v>2.9</v>
      </c>
      <c r="H4" s="271">
        <f>L7</f>
        <v>1.4715590028694403</v>
      </c>
      <c r="I4" s="272"/>
      <c r="K4" s="256" t="s">
        <v>121</v>
      </c>
      <c r="L4" s="348">
        <v>2.0329999999999999</v>
      </c>
    </row>
    <row r="5" spans="1:12" s="255" customFormat="1" x14ac:dyDescent="0.3">
      <c r="A5" s="242" t="s">
        <v>122</v>
      </c>
      <c r="B5" s="266">
        <f>'Pryse + Sensatiwiteitsanali'!B4</f>
        <v>4312</v>
      </c>
      <c r="C5" s="266">
        <f>'Pryse + Sensatiwiteitsanali'!B4</f>
        <v>4312</v>
      </c>
      <c r="D5" s="267">
        <f>C5</f>
        <v>4312</v>
      </c>
      <c r="E5" s="267">
        <f>'Pryse + Sensatiwiteitsanali'!B5</f>
        <v>10000</v>
      </c>
      <c r="F5" s="267">
        <f>'Pryse + Sensatiwiteitsanali'!B6</f>
        <v>8345</v>
      </c>
      <c r="G5" s="267">
        <f>'Pryse + Sensatiwiteitsanali'!B7</f>
        <v>3500</v>
      </c>
      <c r="H5" s="258">
        <f>Grondbone!D10</f>
        <v>16253.350000000002</v>
      </c>
      <c r="I5" s="254"/>
      <c r="K5" s="256" t="s">
        <v>123</v>
      </c>
      <c r="L5" s="348">
        <v>1.4279999999999999</v>
      </c>
    </row>
    <row r="6" spans="1:12" s="255" customFormat="1" x14ac:dyDescent="0.3">
      <c r="A6" s="242" t="s">
        <v>124</v>
      </c>
      <c r="B6" s="266">
        <v>420</v>
      </c>
      <c r="C6" s="266">
        <v>420</v>
      </c>
      <c r="D6" s="267">
        <f>C6</f>
        <v>420</v>
      </c>
      <c r="E6" s="267">
        <f>'Pryse + Sensatiwiteitsanali'!D5</f>
        <v>473.27</v>
      </c>
      <c r="F6" s="267">
        <v>218</v>
      </c>
      <c r="G6" s="267">
        <f>'Pryse + Sensatiwiteitsanali'!D7</f>
        <v>132</v>
      </c>
      <c r="H6" s="258">
        <f>'Pryse + Sensatiwiteitsanali'!D8</f>
        <v>63</v>
      </c>
      <c r="I6" s="254"/>
      <c r="K6" s="256" t="s">
        <v>86</v>
      </c>
      <c r="L6" s="348">
        <v>2.9</v>
      </c>
    </row>
    <row r="7" spans="1:12" s="255" customFormat="1" ht="15" thickBot="1" x14ac:dyDescent="0.35">
      <c r="A7" s="242" t="s">
        <v>125</v>
      </c>
      <c r="B7" s="259">
        <f>B5-B6</f>
        <v>3892</v>
      </c>
      <c r="C7" s="259">
        <f t="shared" ref="C7:H7" si="0">C5-C6</f>
        <v>3892</v>
      </c>
      <c r="D7" s="260">
        <f t="shared" si="0"/>
        <v>3892</v>
      </c>
      <c r="E7" s="260">
        <f t="shared" si="0"/>
        <v>9526.73</v>
      </c>
      <c r="F7" s="260">
        <f t="shared" si="0"/>
        <v>8127</v>
      </c>
      <c r="G7" s="260">
        <f>Graansorghum!E3</f>
        <v>3368</v>
      </c>
      <c r="H7" s="261">
        <f t="shared" si="0"/>
        <v>16190.350000000002</v>
      </c>
      <c r="I7" s="254"/>
      <c r="K7" s="256" t="s">
        <v>117</v>
      </c>
      <c r="L7" s="348">
        <v>1.4715590028694403</v>
      </c>
    </row>
    <row r="8" spans="1:12" ht="15" thickTop="1" x14ac:dyDescent="0.3">
      <c r="A8" s="222" t="s">
        <v>126</v>
      </c>
      <c r="B8" s="262">
        <f>B4*B7</f>
        <v>15568</v>
      </c>
      <c r="C8" s="262">
        <f>C4*C7</f>
        <v>23352</v>
      </c>
      <c r="D8" s="262">
        <f t="shared" ref="D8:G8" si="1">D4*D7</f>
        <v>19070.800000000003</v>
      </c>
      <c r="E8" s="262">
        <f>E4*E7</f>
        <v>13604.170439999998</v>
      </c>
      <c r="F8" s="262">
        <f>F4*F7</f>
        <v>16522.190999999999</v>
      </c>
      <c r="G8" s="262">
        <f t="shared" si="1"/>
        <v>9767.1999999999989</v>
      </c>
      <c r="H8" s="263">
        <f>H4*H7</f>
        <v>23825.055302107245</v>
      </c>
      <c r="I8" s="272"/>
    </row>
    <row r="9" spans="1:12" x14ac:dyDescent="0.3">
      <c r="A9" s="242"/>
      <c r="B9" s="224"/>
      <c r="C9" s="224"/>
      <c r="D9" s="225"/>
      <c r="E9" s="225"/>
      <c r="F9" s="225"/>
      <c r="G9" s="225"/>
      <c r="H9" s="223"/>
      <c r="I9" s="272"/>
    </row>
    <row r="10" spans="1:12" x14ac:dyDescent="0.3">
      <c r="A10" s="220" t="s">
        <v>127</v>
      </c>
      <c r="B10" s="226"/>
      <c r="C10" s="226"/>
      <c r="D10" s="227"/>
      <c r="E10" s="227"/>
      <c r="F10" s="227"/>
      <c r="G10" s="227"/>
      <c r="H10" s="228"/>
      <c r="I10" s="272"/>
    </row>
    <row r="11" spans="1:12" x14ac:dyDescent="0.3">
      <c r="A11" s="257" t="str">
        <f>'W-BT Mielies '!A9</f>
        <v>Saad / Seed</v>
      </c>
      <c r="B11" s="236">
        <f>'W-RR mielies Laer opbrengs '!F9</f>
        <v>1604.847</v>
      </c>
      <c r="C11" s="236">
        <f>'W-RR mielies Hoer opbrengs  '!F9</f>
        <v>2447.3916750000003</v>
      </c>
      <c r="D11" s="237">
        <f>'W-BT Mielies '!G9</f>
        <v>1894.7485109374998</v>
      </c>
      <c r="E11" s="237">
        <f>Sonneblom!F9</f>
        <v>951.41173333333325</v>
      </c>
      <c r="F11" s="237">
        <f>Sojabone!G9</f>
        <v>1890.4686999999999</v>
      </c>
      <c r="G11" s="237">
        <f>Graansorghum!F9</f>
        <v>737.14740000000006</v>
      </c>
      <c r="H11" s="238">
        <f>Grondbone!D16</f>
        <v>900</v>
      </c>
      <c r="I11" s="274"/>
      <c r="J11" s="275"/>
    </row>
    <row r="12" spans="1:12" x14ac:dyDescent="0.3">
      <c r="A12" s="257" t="str">
        <f>'W-BT Mielies '!A10</f>
        <v>Kunsmis / Fertiliser</v>
      </c>
      <c r="B12" s="236">
        <f>'W-RR mielies Laer opbrengs '!F10</f>
        <v>5063.4400000000005</v>
      </c>
      <c r="C12" s="236">
        <f>'W-RR mielies Hoer opbrengs  '!F10</f>
        <v>7545.16</v>
      </c>
      <c r="D12" s="237">
        <f>'W-BT Mielies '!G10</f>
        <v>6304.3</v>
      </c>
      <c r="E12" s="237">
        <f>Sonneblom!F10</f>
        <v>1954.4650000000001</v>
      </c>
      <c r="F12" s="237">
        <f>Sojabone!G10</f>
        <v>2963.4800000000005</v>
      </c>
      <c r="G12" s="237">
        <f>Graansorghum!F10</f>
        <v>3896.2650000000003</v>
      </c>
      <c r="H12" s="238">
        <f>Grondbone!D17</f>
        <v>2252.5500000000002</v>
      </c>
      <c r="I12" s="274"/>
      <c r="J12" s="275"/>
    </row>
    <row r="13" spans="1:12" x14ac:dyDescent="0.3">
      <c r="A13" s="257" t="str">
        <f>'W-BT Mielies '!A11</f>
        <v>Kalk / Lime</v>
      </c>
      <c r="B13" s="236">
        <f>'W-RR mielies Laer opbrengs '!F11</f>
        <v>800</v>
      </c>
      <c r="C13" s="236">
        <f>'W-RR mielies Hoer opbrengs  '!F11</f>
        <v>800</v>
      </c>
      <c r="D13" s="237">
        <f>'W-BT Mielies '!G11</f>
        <v>800</v>
      </c>
      <c r="E13" s="237">
        <f>Sonneblom!F11</f>
        <v>800</v>
      </c>
      <c r="F13" s="237">
        <f>Sojabone!G11</f>
        <v>800</v>
      </c>
      <c r="G13" s="237">
        <f>Graansorghum!F11</f>
        <v>266.40000000000003</v>
      </c>
      <c r="H13" s="238">
        <f>Grondbone!D18</f>
        <v>800</v>
      </c>
      <c r="I13" s="274"/>
      <c r="J13" s="275"/>
    </row>
    <row r="14" spans="1:12" x14ac:dyDescent="0.3">
      <c r="A14" s="257" t="str">
        <f>'W-BT Mielies '!A12</f>
        <v>Brandstof / Fuel</v>
      </c>
      <c r="B14" s="236">
        <f>'W-RR mielies Laer opbrengs '!F12</f>
        <v>2318.353044</v>
      </c>
      <c r="C14" s="236">
        <f>'W-RR mielies Hoer opbrengs  '!F12</f>
        <v>2177.2333070000004</v>
      </c>
      <c r="D14" s="237">
        <f>'W-BT Mielies '!G12</f>
        <v>2272.7383070000001</v>
      </c>
      <c r="E14" s="237">
        <f>Sonneblom!F12</f>
        <v>2133.0970440000001</v>
      </c>
      <c r="F14" s="237">
        <f>Sojabone!G12</f>
        <v>2048.887307</v>
      </c>
      <c r="G14" s="237">
        <f>Graansorghum!F12</f>
        <v>2727.4063580000002</v>
      </c>
      <c r="H14" s="238">
        <f>Grondbone!D19</f>
        <v>2822.5925140000004</v>
      </c>
      <c r="I14" s="274"/>
      <c r="J14" s="275"/>
    </row>
    <row r="15" spans="1:12" x14ac:dyDescent="0.3">
      <c r="A15" s="257" t="str">
        <f>'W-BT Mielies '!A13</f>
        <v>Reparasie / Reparation</v>
      </c>
      <c r="B15" s="236">
        <f>'W-RR mielies Laer opbrengs '!F13</f>
        <v>1343.7620666666667</v>
      </c>
      <c r="C15" s="236">
        <f>'W-RR mielies Hoer opbrengs  '!F13</f>
        <v>1290.3547999999998</v>
      </c>
      <c r="D15" s="237">
        <f>'W-BT Mielies '!G13</f>
        <v>1280.8481333333332</v>
      </c>
      <c r="E15" s="237">
        <f>Sonneblom!F13</f>
        <v>1264.3453999999999</v>
      </c>
      <c r="F15" s="237">
        <f>Sojabone!G13</f>
        <v>1194.3014666666666</v>
      </c>
      <c r="G15" s="237">
        <f>Graansorghum!F13</f>
        <v>1371.6587</v>
      </c>
      <c r="H15" s="238">
        <f>Grondbone!D20</f>
        <v>1775.4466576032387</v>
      </c>
      <c r="I15" s="274"/>
      <c r="J15" s="275"/>
    </row>
    <row r="16" spans="1:12" x14ac:dyDescent="0.3">
      <c r="A16" s="257" t="str">
        <f>'W-BT Mielies '!A14</f>
        <v>Onkruiddoders / Herbicide</v>
      </c>
      <c r="B16" s="236">
        <f>'W-RR mielies Laer opbrengs '!F14</f>
        <v>1372.308</v>
      </c>
      <c r="C16" s="236">
        <f>'W-RR mielies Hoer opbrengs  '!F14</f>
        <v>1372.308</v>
      </c>
      <c r="D16" s="237">
        <f>'W-BT Mielies '!G14</f>
        <v>1372.308</v>
      </c>
      <c r="E16" s="237">
        <f>Sonneblom!F14</f>
        <v>1331.712</v>
      </c>
      <c r="F16" s="237">
        <f>Sojabone!G14</f>
        <v>856.27980000000002</v>
      </c>
      <c r="G16" s="237">
        <f>Graansorghum!F14</f>
        <v>394.37116601356621</v>
      </c>
      <c r="H16" s="238">
        <f>Grondbone!D21</f>
        <v>1189.5094445220559</v>
      </c>
      <c r="I16" s="274"/>
      <c r="J16" s="275"/>
    </row>
    <row r="17" spans="1:18" x14ac:dyDescent="0.3">
      <c r="A17" s="257" t="str">
        <f>'W-BT Mielies '!A15</f>
        <v>Plaagdoder / Pest control</v>
      </c>
      <c r="B17" s="236">
        <f>'W-RR mielies Laer opbrengs '!F15</f>
        <v>594.303</v>
      </c>
      <c r="C17" s="236">
        <f>'W-RR mielies Hoer opbrengs  '!F15</f>
        <v>594.303</v>
      </c>
      <c r="D17" s="237">
        <f>'W-BT Mielies '!G15</f>
        <v>594.303</v>
      </c>
      <c r="E17" s="237">
        <f>Sonneblom!F15</f>
        <v>691.50900000000001</v>
      </c>
      <c r="F17" s="237">
        <f>Sojabone!G15</f>
        <v>863.12400000000002</v>
      </c>
      <c r="G17" s="237">
        <f>Graansorghum!F15</f>
        <v>594.303</v>
      </c>
      <c r="H17" s="238">
        <f>Grondbone!D22</f>
        <v>1118.2233330418551</v>
      </c>
      <c r="I17" s="274"/>
      <c r="J17" s="275"/>
    </row>
    <row r="18" spans="1:18" x14ac:dyDescent="0.3">
      <c r="A18" s="257" t="str">
        <f>'W-BT Mielies '!A16</f>
        <v>Insetversekering / Input insurance</v>
      </c>
      <c r="B18" s="236"/>
      <c r="C18" s="236"/>
      <c r="D18" s="237"/>
      <c r="E18" s="237"/>
      <c r="F18" s="237"/>
      <c r="G18" s="237"/>
      <c r="H18" s="238"/>
      <c r="I18" s="274"/>
      <c r="J18" s="275"/>
    </row>
    <row r="19" spans="1:18" x14ac:dyDescent="0.3">
      <c r="A19" s="257" t="str">
        <f>'W-BT Mielies '!A17</f>
        <v>Graanprysverskansing / Grain hedging</v>
      </c>
      <c r="B19" s="236">
        <f>'W-RR mielies Laer opbrengs '!F17</f>
        <v>1531.9621779227973</v>
      </c>
      <c r="C19" s="236">
        <f>'W-RR mielies Hoer opbrengs  '!F17</f>
        <v>1897.4070516804991</v>
      </c>
      <c r="D19" s="237">
        <f>'W-BT Mielies '!G17</f>
        <v>1702.0820373293034</v>
      </c>
      <c r="E19" s="237">
        <f>Sonneblom!F17</f>
        <v>432.26871921274846</v>
      </c>
      <c r="F19" s="237">
        <f>Sojabone!G17</f>
        <v>635.88879859919462</v>
      </c>
      <c r="G19" s="237"/>
      <c r="H19" s="238"/>
      <c r="I19" s="274"/>
      <c r="J19" s="275"/>
    </row>
    <row r="20" spans="1:18" x14ac:dyDescent="0.3">
      <c r="A20" s="257" t="str">
        <f>'W-BT Mielies '!A18</f>
        <v>Kontrakstroop / Contract Harvesting</v>
      </c>
      <c r="B20" s="236"/>
      <c r="C20" s="236"/>
      <c r="D20" s="237"/>
      <c r="E20" s="237"/>
      <c r="F20" s="237"/>
      <c r="G20" s="237"/>
      <c r="H20" s="238"/>
      <c r="I20" s="274"/>
      <c r="J20" s="275"/>
      <c r="N20" s="275"/>
    </row>
    <row r="21" spans="1:18" x14ac:dyDescent="0.3">
      <c r="A21" s="257" t="str">
        <f>'W-BT Mielies '!A19</f>
        <v>Oesversekering / Harvest insurance</v>
      </c>
      <c r="B21" s="236">
        <f>'W-RR mielies Laer opbrengs '!F19</f>
        <v>435.21408000000002</v>
      </c>
      <c r="C21" s="236">
        <f>'W-RR mielies Hoer opbrengs  '!F19</f>
        <v>652.82112000000006</v>
      </c>
      <c r="D21" s="237">
        <f>'W-BT Mielies '!G19</f>
        <v>571.21848</v>
      </c>
      <c r="E21" s="237">
        <f>Sonneblom!F19</f>
        <v>643.05427499999996</v>
      </c>
      <c r="F21" s="237">
        <f>Sojabone!G19</f>
        <v>1464.3917999999999</v>
      </c>
      <c r="G21" s="237">
        <f>Graansorghum!F19</f>
        <v>231.99455999999998</v>
      </c>
      <c r="H21" s="238"/>
      <c r="I21" s="274"/>
      <c r="J21" s="275"/>
    </row>
    <row r="22" spans="1:18" x14ac:dyDescent="0.3">
      <c r="A22" s="257" t="str">
        <f>'W-BT Mielies '!A20</f>
        <v>Lugspuit / Aerial spray</v>
      </c>
      <c r="B22" s="236">
        <f>'W-RR mielies Laer opbrengs '!F20</f>
        <v>200</v>
      </c>
      <c r="C22" s="236">
        <f>'W-RR mielies Hoer opbrengs  '!F20</f>
        <v>200</v>
      </c>
      <c r="D22" s="237">
        <f>'W-BT Mielies '!G20</f>
        <v>200</v>
      </c>
      <c r="E22" s="237">
        <f>Sonneblom!F20</f>
        <v>200</v>
      </c>
      <c r="F22" s="237">
        <f>Sojabone!G20</f>
        <v>200</v>
      </c>
      <c r="G22" s="237"/>
      <c r="H22" s="238"/>
      <c r="I22" s="274"/>
      <c r="J22" s="275"/>
    </row>
    <row r="23" spans="1:18" x14ac:dyDescent="0.3">
      <c r="A23" s="257" t="str">
        <f>'W-BT Mielies '!A21</f>
        <v>Losarbeid / Casual labour</v>
      </c>
      <c r="B23" s="236">
        <f>'W-RR mielies Laer opbrengs '!F21</f>
        <v>300</v>
      </c>
      <c r="C23" s="236">
        <f>'W-RR mielies Hoer opbrengs  '!F21</f>
        <v>300</v>
      </c>
      <c r="D23" s="237">
        <f>'W-BT Mielies '!G21</f>
        <v>300</v>
      </c>
      <c r="E23" s="237">
        <f>Sonneblom!F21</f>
        <v>300</v>
      </c>
      <c r="F23" s="237">
        <f>Sojabone!G21</f>
        <v>300</v>
      </c>
      <c r="G23" s="237">
        <f>Graansorghum!F21</f>
        <v>300</v>
      </c>
      <c r="H23" s="238">
        <f>Grondbone!D28</f>
        <v>300</v>
      </c>
      <c r="I23" s="274"/>
      <c r="J23" s="275"/>
    </row>
    <row r="24" spans="1:18" x14ac:dyDescent="0.3">
      <c r="A24" s="257" t="str">
        <f>'W-BT Mielies '!A22</f>
        <v>Droogkoste / Drying cost</v>
      </c>
      <c r="B24" s="236"/>
      <c r="C24" s="236"/>
      <c r="D24" s="237"/>
      <c r="E24" s="237"/>
      <c r="F24" s="237"/>
      <c r="G24" s="237"/>
      <c r="H24" s="238"/>
      <c r="I24" s="274"/>
      <c r="J24" s="275"/>
    </row>
    <row r="25" spans="1:18" x14ac:dyDescent="0.3">
      <c r="A25" s="257" t="str">
        <f>'W-BT Mielies '!A23</f>
        <v>Oorlê land koste / overlay costs</v>
      </c>
      <c r="B25" s="236"/>
      <c r="C25" s="236">
        <f>'W-RR mielies Hoer opbrengs  '!F23</f>
        <v>2010.301360125</v>
      </c>
      <c r="D25" s="237">
        <f>'W-BT Mielies '!G23</f>
        <v>2010.301360125</v>
      </c>
      <c r="E25" s="237"/>
      <c r="F25" s="237">
        <f>Sojabone!G23</f>
        <v>2010.301360125</v>
      </c>
      <c r="G25" s="237"/>
      <c r="H25" s="238">
        <f>Grondbone!D30</f>
        <v>350</v>
      </c>
      <c r="I25" s="274"/>
      <c r="J25" s="275"/>
    </row>
    <row r="26" spans="1:18" x14ac:dyDescent="0.3">
      <c r="A26" s="257" t="str">
        <f>'W-BT Mielies '!A24</f>
        <v>Produksiekrediet rente / Interest on production R/ha</v>
      </c>
      <c r="B26" s="236">
        <f>'W-RR mielies Laer opbrengs '!F24</f>
        <v>953.30659882610462</v>
      </c>
      <c r="C26" s="236">
        <f>'W-RR mielies Hoer opbrengs  '!F24</f>
        <v>1303.8459192205867</v>
      </c>
      <c r="D26" s="237">
        <f>'W-BT Mielies '!G24</f>
        <v>1182.2994295094145</v>
      </c>
      <c r="E26" s="237">
        <f>Sonneblom!F24</f>
        <v>655.48911925719756</v>
      </c>
      <c r="F26" s="237">
        <f>Sojabone!G24</f>
        <v>932.66129798394047</v>
      </c>
      <c r="G26" s="237">
        <f>Graansorghum!F24</f>
        <v>656.38923715833096</v>
      </c>
      <c r="H26" s="238">
        <f>Grondbone!D31</f>
        <v>683.44721938648797</v>
      </c>
      <c r="I26" s="274"/>
      <c r="J26" s="275"/>
    </row>
    <row r="27" spans="1:18" x14ac:dyDescent="0.3">
      <c r="A27" s="229" t="s">
        <v>128</v>
      </c>
      <c r="B27" s="230">
        <f t="shared" ref="B27:H27" si="2">SUM(B11:B26)</f>
        <v>16517.495967415569</v>
      </c>
      <c r="C27" s="230">
        <f t="shared" si="2"/>
        <v>22591.126233026087</v>
      </c>
      <c r="D27" s="231">
        <f t="shared" si="2"/>
        <v>20485.147258234549</v>
      </c>
      <c r="E27" s="231">
        <f t="shared" si="2"/>
        <v>11357.352290803281</v>
      </c>
      <c r="F27" s="231">
        <f t="shared" si="2"/>
        <v>16159.784530374804</v>
      </c>
      <c r="G27" s="231">
        <f t="shared" si="2"/>
        <v>11175.935421171896</v>
      </c>
      <c r="H27" s="232">
        <f t="shared" si="2"/>
        <v>12191.769168553639</v>
      </c>
      <c r="I27" s="274"/>
    </row>
    <row r="28" spans="1:18" ht="15" thickBot="1" x14ac:dyDescent="0.35">
      <c r="A28" s="222"/>
      <c r="B28" s="233"/>
      <c r="C28" s="233"/>
      <c r="D28" s="234"/>
      <c r="E28" s="234"/>
      <c r="F28" s="234"/>
      <c r="G28" s="234"/>
      <c r="H28" s="235"/>
      <c r="I28" s="272"/>
    </row>
    <row r="29" spans="1:18" ht="15" thickTop="1" x14ac:dyDescent="0.3">
      <c r="A29" s="229" t="s">
        <v>129</v>
      </c>
      <c r="B29" s="230">
        <f>'W-RR mielies Laer opbrengs '!D27</f>
        <v>7127.22</v>
      </c>
      <c r="C29" s="230">
        <f>'W-RR mielies Hoer opbrengs  '!D27</f>
        <v>7328.6099999999988</v>
      </c>
      <c r="D29" s="231">
        <f>'W-BT Mielies '!D27</f>
        <v>7658.1599999999989</v>
      </c>
      <c r="E29" s="231">
        <f>SUM(Sonneblom!D27)</f>
        <v>6336.2800000000007</v>
      </c>
      <c r="F29" s="231">
        <f>Sojabone!G27</f>
        <v>6784.8700000000008</v>
      </c>
      <c r="G29" s="231">
        <f>Graansorghum!F27</f>
        <v>6918.24</v>
      </c>
      <c r="H29" s="232">
        <f>Grondbone!D34</f>
        <v>7880.47</v>
      </c>
      <c r="I29" s="272"/>
      <c r="J29" s="274"/>
      <c r="K29" s="274"/>
      <c r="R29" s="255"/>
    </row>
    <row r="30" spans="1:18" x14ac:dyDescent="0.3">
      <c r="A30" s="222"/>
      <c r="B30" s="236"/>
      <c r="C30" s="236"/>
      <c r="D30" s="237"/>
      <c r="E30" s="237"/>
      <c r="F30" s="237"/>
      <c r="G30" s="237"/>
      <c r="H30" s="238"/>
      <c r="I30" s="272"/>
      <c r="R30" s="255"/>
    </row>
    <row r="31" spans="1:18" ht="15" thickBot="1" x14ac:dyDescent="0.35">
      <c r="A31" s="229" t="s">
        <v>130</v>
      </c>
      <c r="B31" s="239">
        <f>B27+B29</f>
        <v>23644.71596741557</v>
      </c>
      <c r="C31" s="239">
        <f t="shared" ref="C31:H31" si="3">C27+C29</f>
        <v>29919.736233026088</v>
      </c>
      <c r="D31" s="240">
        <f t="shared" si="3"/>
        <v>28143.307258234548</v>
      </c>
      <c r="E31" s="240">
        <f t="shared" si="3"/>
        <v>17693.632290803282</v>
      </c>
      <c r="F31" s="240">
        <f t="shared" si="3"/>
        <v>22944.654530374806</v>
      </c>
      <c r="G31" s="240">
        <f t="shared" si="3"/>
        <v>18094.175421171894</v>
      </c>
      <c r="H31" s="241">
        <f t="shared" si="3"/>
        <v>20072.239168553639</v>
      </c>
      <c r="I31" s="272"/>
      <c r="R31" s="255"/>
    </row>
    <row r="32" spans="1:18" ht="15.6" thickTop="1" thickBot="1" x14ac:dyDescent="0.35">
      <c r="A32" s="242"/>
      <c r="B32" s="233"/>
      <c r="C32" s="233"/>
      <c r="D32" s="243"/>
      <c r="E32" s="243"/>
      <c r="F32" s="243"/>
      <c r="G32" s="243"/>
      <c r="H32" s="244"/>
      <c r="I32" s="272"/>
    </row>
    <row r="33" spans="1:9" ht="15" thickTop="1" x14ac:dyDescent="0.3">
      <c r="A33" s="245" t="s">
        <v>131</v>
      </c>
      <c r="B33" s="246">
        <f t="shared" ref="B33:H33" si="4">B8-B27</f>
        <v>-949.49596741556888</v>
      </c>
      <c r="C33" s="246">
        <f t="shared" si="4"/>
        <v>760.87376697391301</v>
      </c>
      <c r="D33" s="247">
        <f t="shared" si="4"/>
        <v>-1414.3472582345457</v>
      </c>
      <c r="E33" s="247">
        <f t="shared" si="4"/>
        <v>2246.8181491967171</v>
      </c>
      <c r="F33" s="247">
        <f t="shared" si="4"/>
        <v>362.40646962519531</v>
      </c>
      <c r="G33" s="247">
        <f t="shared" si="4"/>
        <v>-1408.7354211718975</v>
      </c>
      <c r="H33" s="248">
        <f t="shared" si="4"/>
        <v>11633.286133553605</v>
      </c>
      <c r="I33" s="272"/>
    </row>
    <row r="34" spans="1:9" ht="15" thickBot="1" x14ac:dyDescent="0.35">
      <c r="A34" s="249" t="s">
        <v>132</v>
      </c>
      <c r="B34" s="250">
        <f t="shared" ref="B34:H34" si="5">B8-B31</f>
        <v>-8076.71596741557</v>
      </c>
      <c r="C34" s="250">
        <f t="shared" si="5"/>
        <v>-6567.7362330260876</v>
      </c>
      <c r="D34" s="251">
        <f t="shared" si="5"/>
        <v>-9072.5072582345456</v>
      </c>
      <c r="E34" s="251">
        <f t="shared" si="5"/>
        <v>-4089.4618508032836</v>
      </c>
      <c r="F34" s="251">
        <f t="shared" si="5"/>
        <v>-6422.4635303748073</v>
      </c>
      <c r="G34" s="251">
        <f t="shared" si="5"/>
        <v>-8326.9754211718955</v>
      </c>
      <c r="H34" s="252">
        <f t="shared" si="5"/>
        <v>3752.8161335536061</v>
      </c>
      <c r="I34" s="272"/>
    </row>
    <row r="35" spans="1:9" ht="15" thickBot="1" x14ac:dyDescent="0.35">
      <c r="A35" s="349"/>
      <c r="B35" s="350"/>
      <c r="C35" s="350"/>
      <c r="D35" s="350"/>
      <c r="E35" s="350"/>
      <c r="F35" s="350"/>
      <c r="G35" s="350"/>
      <c r="H35" s="350"/>
      <c r="I35" s="272"/>
    </row>
    <row r="36" spans="1:9" ht="54" customHeight="1" thickBot="1" x14ac:dyDescent="0.35">
      <c r="A36" s="439" t="s">
        <v>172</v>
      </c>
      <c r="B36" s="440"/>
      <c r="C36" s="440"/>
      <c r="D36" s="440"/>
      <c r="E36" s="441"/>
      <c r="F36" s="441"/>
      <c r="G36" s="441"/>
      <c r="H36" s="442"/>
      <c r="I36" s="272"/>
    </row>
    <row r="37" spans="1:9" ht="9.75" customHeight="1" x14ac:dyDescent="0.3">
      <c r="A37" s="276"/>
      <c r="B37" s="276"/>
      <c r="C37" s="276"/>
      <c r="D37" s="276"/>
      <c r="E37" s="277"/>
      <c r="F37" s="277"/>
      <c r="G37" s="277"/>
      <c r="H37" s="277"/>
      <c r="I37" s="272"/>
    </row>
    <row r="38" spans="1:9" x14ac:dyDescent="0.3">
      <c r="A38" s="278"/>
      <c r="B38" s="278"/>
      <c r="C38" s="278"/>
      <c r="D38" s="278"/>
      <c r="E38" s="278"/>
      <c r="F38" s="278"/>
      <c r="G38" s="278"/>
      <c r="H38" s="278"/>
      <c r="I38" s="272"/>
    </row>
    <row r="39" spans="1:9" x14ac:dyDescent="0.3">
      <c r="A39" s="278"/>
      <c r="B39" s="278"/>
      <c r="C39" s="278"/>
      <c r="D39" s="278"/>
      <c r="E39" s="278"/>
      <c r="F39" s="278"/>
      <c r="G39" s="278"/>
      <c r="H39" s="278"/>
      <c r="I39" s="272"/>
    </row>
    <row r="40" spans="1:9" x14ac:dyDescent="0.3">
      <c r="A40" s="278"/>
      <c r="B40" s="278"/>
      <c r="C40" s="278"/>
      <c r="D40" s="278"/>
      <c r="E40" s="278"/>
      <c r="F40" s="278"/>
      <c r="G40" s="278"/>
      <c r="H40" s="278"/>
      <c r="I40" s="272"/>
    </row>
    <row r="41" spans="1:9" x14ac:dyDescent="0.3">
      <c r="A41" s="278"/>
      <c r="B41" s="278"/>
      <c r="C41" s="278"/>
      <c r="D41" s="278"/>
      <c r="E41" s="278"/>
      <c r="F41" s="278"/>
      <c r="G41" s="278"/>
      <c r="H41" s="278"/>
      <c r="I41" s="272"/>
    </row>
    <row r="42" spans="1:9" x14ac:dyDescent="0.3">
      <c r="A42" s="278"/>
      <c r="B42" s="278"/>
      <c r="C42" s="278"/>
      <c r="D42" s="278"/>
      <c r="E42" s="278"/>
      <c r="F42" s="278"/>
      <c r="G42" s="278"/>
      <c r="H42" s="278"/>
      <c r="I42" s="272"/>
    </row>
    <row r="43" spans="1:9" x14ac:dyDescent="0.3">
      <c r="A43" s="278"/>
      <c r="B43" s="278"/>
      <c r="C43" s="278"/>
      <c r="D43" s="278"/>
      <c r="E43" s="278"/>
      <c r="F43" s="278"/>
      <c r="G43" s="278"/>
      <c r="H43" s="278"/>
      <c r="I43" s="272"/>
    </row>
    <row r="44" spans="1:9" x14ac:dyDescent="0.3">
      <c r="A44" s="278"/>
      <c r="B44" s="278"/>
      <c r="C44" s="278"/>
      <c r="D44" s="278"/>
      <c r="E44" s="278"/>
      <c r="F44" s="278"/>
      <c r="G44" s="278"/>
      <c r="H44" s="278"/>
      <c r="I44" s="272"/>
    </row>
    <row r="45" spans="1:9" x14ac:dyDescent="0.3">
      <c r="A45" s="278"/>
      <c r="B45" s="278"/>
      <c r="C45" s="278"/>
      <c r="D45" s="278"/>
      <c r="E45" s="278"/>
      <c r="F45" s="278"/>
      <c r="G45" s="278"/>
      <c r="H45" s="278"/>
      <c r="I45" s="272"/>
    </row>
    <row r="46" spans="1:9" x14ac:dyDescent="0.3">
      <c r="A46" s="278"/>
      <c r="B46" s="278"/>
      <c r="C46" s="278"/>
      <c r="D46" s="278"/>
      <c r="E46" s="278"/>
      <c r="F46" s="278"/>
      <c r="G46" s="278"/>
      <c r="H46" s="278"/>
      <c r="I46" s="272"/>
    </row>
    <row r="47" spans="1:9" x14ac:dyDescent="0.3">
      <c r="A47" s="278"/>
      <c r="B47" s="278"/>
      <c r="C47" s="278"/>
      <c r="D47" s="278"/>
      <c r="E47" s="278"/>
      <c r="F47" s="278"/>
      <c r="G47" s="278"/>
      <c r="H47" s="278"/>
      <c r="I47" s="272"/>
    </row>
    <row r="48" spans="1:9" x14ac:dyDescent="0.3">
      <c r="A48" s="278"/>
      <c r="B48" s="278"/>
      <c r="C48" s="278"/>
      <c r="D48" s="278"/>
      <c r="E48" s="278"/>
      <c r="F48" s="278"/>
      <c r="G48" s="278"/>
      <c r="H48" s="278"/>
      <c r="I48" s="272"/>
    </row>
    <row r="49" spans="1:9" x14ac:dyDescent="0.3">
      <c r="A49" s="278"/>
      <c r="B49" s="278"/>
      <c r="C49" s="278"/>
      <c r="D49" s="278"/>
      <c r="E49" s="278"/>
      <c r="F49" s="278"/>
      <c r="G49" s="278"/>
      <c r="H49" s="278"/>
      <c r="I49" s="272"/>
    </row>
    <row r="50" spans="1:9" x14ac:dyDescent="0.3">
      <c r="A50" s="278"/>
      <c r="B50" s="278"/>
      <c r="C50" s="278"/>
      <c r="D50" s="278"/>
      <c r="E50" s="278"/>
      <c r="F50" s="278"/>
      <c r="G50" s="278"/>
      <c r="H50" s="278"/>
      <c r="I50" s="272"/>
    </row>
    <row r="51" spans="1:9" x14ac:dyDescent="0.3">
      <c r="A51" s="278"/>
      <c r="B51" s="278"/>
      <c r="C51" s="278"/>
      <c r="D51" s="278"/>
      <c r="E51" s="278"/>
      <c r="F51" s="278"/>
      <c r="G51" s="278"/>
      <c r="H51" s="278"/>
      <c r="I51" s="272"/>
    </row>
    <row r="52" spans="1:9" x14ac:dyDescent="0.3">
      <c r="A52" s="278"/>
      <c r="B52" s="278"/>
      <c r="C52" s="278"/>
      <c r="D52" s="278"/>
      <c r="E52" s="278"/>
      <c r="F52" s="278"/>
      <c r="G52" s="278"/>
      <c r="H52" s="278"/>
      <c r="I52" s="272"/>
    </row>
    <row r="53" spans="1:9" x14ac:dyDescent="0.3">
      <c r="A53" s="278"/>
      <c r="B53" s="278"/>
      <c r="C53" s="278"/>
      <c r="D53" s="278"/>
      <c r="E53" s="278"/>
      <c r="F53" s="278"/>
      <c r="G53" s="278"/>
      <c r="H53" s="278"/>
      <c r="I53" s="272"/>
    </row>
    <row r="54" spans="1:9" x14ac:dyDescent="0.3">
      <c r="A54" s="278"/>
      <c r="B54" s="278"/>
      <c r="C54" s="278"/>
      <c r="D54" s="278"/>
      <c r="E54" s="278"/>
      <c r="F54" s="278"/>
      <c r="G54" s="278"/>
      <c r="H54" s="278"/>
      <c r="I54" s="272"/>
    </row>
    <row r="55" spans="1:9" x14ac:dyDescent="0.3">
      <c r="A55" s="278"/>
      <c r="B55" s="278"/>
      <c r="C55" s="278"/>
      <c r="D55" s="278"/>
      <c r="E55" s="278"/>
      <c r="F55" s="278"/>
      <c r="G55" s="278"/>
      <c r="H55" s="278"/>
      <c r="I55" s="272"/>
    </row>
    <row r="56" spans="1:9" x14ac:dyDescent="0.3">
      <c r="A56" s="278"/>
      <c r="B56" s="278"/>
      <c r="C56" s="278"/>
      <c r="D56" s="278"/>
      <c r="E56" s="278"/>
      <c r="F56" s="278"/>
      <c r="G56" s="278"/>
      <c r="H56" s="278"/>
      <c r="I56" s="272"/>
    </row>
    <row r="57" spans="1:9" ht="15" thickBot="1" x14ac:dyDescent="0.35">
      <c r="A57" s="253" t="s">
        <v>133</v>
      </c>
      <c r="B57" s="279"/>
      <c r="C57" s="279"/>
      <c r="D57" s="279"/>
      <c r="E57" s="279"/>
      <c r="F57" s="279"/>
      <c r="G57" s="279"/>
      <c r="H57" s="279"/>
      <c r="I57" s="272"/>
    </row>
    <row r="58" spans="1:9" ht="27" customHeight="1" thickBot="1" x14ac:dyDescent="0.35">
      <c r="A58" s="283"/>
      <c r="B58" s="284" t="str">
        <f t="shared" ref="B58:H58" si="6">B2</f>
        <v>Maize (lower yield)</v>
      </c>
      <c r="C58" s="284" t="str">
        <f t="shared" si="6"/>
        <v>Maize (higher yield)</v>
      </c>
      <c r="D58" s="284" t="str">
        <f t="shared" si="6"/>
        <v>Maize (Bt)</v>
      </c>
      <c r="E58" s="284" t="str">
        <f t="shared" si="6"/>
        <v>Sunflower</v>
      </c>
      <c r="F58" s="284" t="str">
        <f t="shared" si="6"/>
        <v>Soybean</v>
      </c>
      <c r="G58" s="284" t="str">
        <f t="shared" si="6"/>
        <v>Grain Sorghum</v>
      </c>
      <c r="H58" s="285" t="str">
        <f t="shared" si="6"/>
        <v>Groundnuts</v>
      </c>
      <c r="I58" s="272"/>
    </row>
    <row r="59" spans="1:9" x14ac:dyDescent="0.3">
      <c r="A59" s="286" t="s">
        <v>122</v>
      </c>
      <c r="B59" s="287">
        <f t="shared" ref="B59:H59" si="7">B5</f>
        <v>4312</v>
      </c>
      <c r="C59" s="287">
        <f t="shared" si="7"/>
        <v>4312</v>
      </c>
      <c r="D59" s="287">
        <f t="shared" si="7"/>
        <v>4312</v>
      </c>
      <c r="E59" s="287">
        <f t="shared" si="7"/>
        <v>10000</v>
      </c>
      <c r="F59" s="287">
        <f t="shared" si="7"/>
        <v>8345</v>
      </c>
      <c r="G59" s="287">
        <f t="shared" si="7"/>
        <v>3500</v>
      </c>
      <c r="H59" s="288">
        <f t="shared" si="7"/>
        <v>16253.350000000002</v>
      </c>
      <c r="I59" s="272"/>
    </row>
    <row r="60" spans="1:9" x14ac:dyDescent="0.3">
      <c r="A60" s="289" t="s">
        <v>134</v>
      </c>
      <c r="B60" s="290">
        <f t="shared" ref="B60:H60" si="8">B4</f>
        <v>4</v>
      </c>
      <c r="C60" s="290">
        <f t="shared" si="8"/>
        <v>6</v>
      </c>
      <c r="D60" s="290">
        <f t="shared" si="8"/>
        <v>4.9000000000000004</v>
      </c>
      <c r="E60" s="290">
        <f t="shared" si="8"/>
        <v>1.4279999999999999</v>
      </c>
      <c r="F60" s="290">
        <f t="shared" si="8"/>
        <v>2.0329999999999999</v>
      </c>
      <c r="G60" s="290">
        <f t="shared" si="8"/>
        <v>2.9</v>
      </c>
      <c r="H60" s="291">
        <f t="shared" si="8"/>
        <v>1.4715590028694403</v>
      </c>
      <c r="I60" s="272"/>
    </row>
    <row r="61" spans="1:9" x14ac:dyDescent="0.3">
      <c r="A61" s="289"/>
      <c r="B61" s="290"/>
      <c r="C61" s="290"/>
      <c r="D61" s="290"/>
      <c r="E61" s="290"/>
      <c r="F61" s="290"/>
      <c r="G61" s="290"/>
      <c r="H61" s="291"/>
      <c r="I61" s="272"/>
    </row>
    <row r="62" spans="1:9" x14ac:dyDescent="0.3">
      <c r="A62" s="292" t="s">
        <v>118</v>
      </c>
      <c r="B62" s="293"/>
      <c r="C62" s="293"/>
      <c r="D62" s="293"/>
      <c r="E62" s="293"/>
      <c r="F62" s="293"/>
      <c r="G62" s="293"/>
      <c r="H62" s="294"/>
      <c r="I62" s="272"/>
    </row>
    <row r="63" spans="1:9" x14ac:dyDescent="0.3">
      <c r="A63" s="289" t="s">
        <v>135</v>
      </c>
      <c r="B63" s="287">
        <f t="shared" ref="B63:H63" si="9">B7</f>
        <v>3892</v>
      </c>
      <c r="C63" s="287">
        <f t="shared" si="9"/>
        <v>3892</v>
      </c>
      <c r="D63" s="287">
        <f t="shared" si="9"/>
        <v>3892</v>
      </c>
      <c r="E63" s="287">
        <f t="shared" si="9"/>
        <v>9526.73</v>
      </c>
      <c r="F63" s="287">
        <f t="shared" si="9"/>
        <v>8127</v>
      </c>
      <c r="G63" s="287">
        <f t="shared" si="9"/>
        <v>3368</v>
      </c>
      <c r="H63" s="288">
        <f t="shared" si="9"/>
        <v>16190.350000000002</v>
      </c>
      <c r="I63" s="272"/>
    </row>
    <row r="64" spans="1:9" x14ac:dyDescent="0.3">
      <c r="A64" s="289" t="s">
        <v>136</v>
      </c>
      <c r="B64" s="287">
        <f t="shared" ref="B64:H64" si="10">B63/B60</f>
        <v>973</v>
      </c>
      <c r="C64" s="287">
        <f t="shared" si="10"/>
        <v>648.66666666666663</v>
      </c>
      <c r="D64" s="287">
        <f t="shared" si="10"/>
        <v>794.28571428571422</v>
      </c>
      <c r="E64" s="287">
        <f t="shared" si="10"/>
        <v>6671.379551820728</v>
      </c>
      <c r="F64" s="287">
        <f t="shared" si="10"/>
        <v>3997.5405804230204</v>
      </c>
      <c r="G64" s="287">
        <f t="shared" si="10"/>
        <v>1161.3793103448277</v>
      </c>
      <c r="H64" s="288">
        <f t="shared" si="10"/>
        <v>11002.175222624384</v>
      </c>
      <c r="I64" s="272"/>
    </row>
    <row r="65" spans="1:9" x14ac:dyDescent="0.3">
      <c r="A65" s="289"/>
      <c r="B65" s="287"/>
      <c r="C65" s="287"/>
      <c r="D65" s="287"/>
      <c r="E65" s="287"/>
      <c r="F65" s="287"/>
      <c r="G65" s="287"/>
      <c r="H65" s="288"/>
      <c r="I65" s="272"/>
    </row>
    <row r="66" spans="1:9" x14ac:dyDescent="0.3">
      <c r="A66" s="295" t="s">
        <v>137</v>
      </c>
      <c r="B66" s="293"/>
      <c r="C66" s="293"/>
      <c r="D66" s="293"/>
      <c r="E66" s="293"/>
      <c r="F66" s="293"/>
      <c r="G66" s="293"/>
      <c r="H66" s="294"/>
      <c r="I66" s="272"/>
    </row>
    <row r="67" spans="1:9" x14ac:dyDescent="0.3">
      <c r="A67" s="296" t="s">
        <v>138</v>
      </c>
      <c r="B67" s="287">
        <f>B27</f>
        <v>16517.495967415569</v>
      </c>
      <c r="C67" s="287">
        <f t="shared" ref="C67:H67" si="11">C27</f>
        <v>22591.126233026087</v>
      </c>
      <c r="D67" s="287">
        <f t="shared" si="11"/>
        <v>20485.147258234549</v>
      </c>
      <c r="E67" s="287">
        <f t="shared" si="11"/>
        <v>11357.352290803281</v>
      </c>
      <c r="F67" s="287">
        <f t="shared" si="11"/>
        <v>16159.784530374804</v>
      </c>
      <c r="G67" s="287">
        <f t="shared" si="11"/>
        <v>11175.935421171896</v>
      </c>
      <c r="H67" s="288">
        <f t="shared" si="11"/>
        <v>12191.769168553639</v>
      </c>
      <c r="I67" s="272"/>
    </row>
    <row r="68" spans="1:9" x14ac:dyDescent="0.3">
      <c r="A68" s="296" t="s">
        <v>139</v>
      </c>
      <c r="B68" s="287">
        <f>B67/B60</f>
        <v>4129.3739918538922</v>
      </c>
      <c r="C68" s="287">
        <f t="shared" ref="C68:H68" si="12">C67/C60</f>
        <v>3765.1877055043478</v>
      </c>
      <c r="D68" s="287">
        <f t="shared" si="12"/>
        <v>4180.6422975988871</v>
      </c>
      <c r="E68" s="287">
        <f t="shared" si="12"/>
        <v>7953.3279347361913</v>
      </c>
      <c r="F68" s="287">
        <f t="shared" si="12"/>
        <v>7948.7380867559295</v>
      </c>
      <c r="G68" s="287">
        <f t="shared" si="12"/>
        <v>3853.7708348868609</v>
      </c>
      <c r="H68" s="288">
        <f t="shared" si="12"/>
        <v>8284.933967839901</v>
      </c>
      <c r="I68" s="272"/>
    </row>
    <row r="69" spans="1:9" x14ac:dyDescent="0.3">
      <c r="A69" s="289"/>
      <c r="B69" s="287"/>
      <c r="C69" s="287"/>
      <c r="D69" s="287"/>
      <c r="E69" s="287"/>
      <c r="F69" s="287"/>
      <c r="G69" s="287"/>
      <c r="H69" s="288"/>
      <c r="I69" s="272"/>
    </row>
    <row r="70" spans="1:9" x14ac:dyDescent="0.3">
      <c r="A70" s="289" t="s">
        <v>140</v>
      </c>
      <c r="B70" s="287">
        <f>B31</f>
        <v>23644.71596741557</v>
      </c>
      <c r="C70" s="287">
        <f t="shared" ref="C70:H70" si="13">C31</f>
        <v>29919.736233026088</v>
      </c>
      <c r="D70" s="287">
        <f t="shared" si="13"/>
        <v>28143.307258234548</v>
      </c>
      <c r="E70" s="287">
        <f t="shared" si="13"/>
        <v>17693.632290803282</v>
      </c>
      <c r="F70" s="287">
        <f t="shared" si="13"/>
        <v>22944.654530374806</v>
      </c>
      <c r="G70" s="287">
        <f t="shared" si="13"/>
        <v>18094.175421171894</v>
      </c>
      <c r="H70" s="288">
        <f t="shared" si="13"/>
        <v>20072.239168553639</v>
      </c>
      <c r="I70" s="272"/>
    </row>
    <row r="71" spans="1:9" x14ac:dyDescent="0.3">
      <c r="A71" s="289" t="s">
        <v>141</v>
      </c>
      <c r="B71" s="287">
        <f>B70/B60</f>
        <v>5911.1789918538925</v>
      </c>
      <c r="C71" s="287">
        <f t="shared" ref="C71:H71" si="14">C70/C60</f>
        <v>4986.6227055043482</v>
      </c>
      <c r="D71" s="287">
        <f t="shared" si="14"/>
        <v>5743.532093517254</v>
      </c>
      <c r="E71" s="287">
        <f t="shared" si="14"/>
        <v>12390.49880308353</v>
      </c>
      <c r="F71" s="287">
        <f t="shared" si="14"/>
        <v>11286.106507808563</v>
      </c>
      <c r="G71" s="287">
        <f t="shared" si="14"/>
        <v>6239.3708348868604</v>
      </c>
      <c r="H71" s="288">
        <f t="shared" si="14"/>
        <v>13640.118492982023</v>
      </c>
      <c r="I71" s="272"/>
    </row>
    <row r="72" spans="1:9" x14ac:dyDescent="0.3">
      <c r="A72" s="289"/>
      <c r="B72" s="287"/>
      <c r="C72" s="287"/>
      <c r="D72" s="287"/>
      <c r="E72" s="287"/>
      <c r="F72" s="287"/>
      <c r="G72" s="287"/>
      <c r="H72" s="288"/>
      <c r="I72" s="272"/>
    </row>
    <row r="73" spans="1:9" x14ac:dyDescent="0.3">
      <c r="A73" s="297" t="s">
        <v>142</v>
      </c>
      <c r="B73" s="298"/>
      <c r="C73" s="298"/>
      <c r="D73" s="298"/>
      <c r="E73" s="298"/>
      <c r="F73" s="298"/>
      <c r="G73" s="298"/>
      <c r="H73" s="299"/>
      <c r="I73" s="272"/>
    </row>
    <row r="74" spans="1:9" x14ac:dyDescent="0.3">
      <c r="A74" s="296" t="s">
        <v>143</v>
      </c>
      <c r="B74" s="287">
        <f>B33</f>
        <v>-949.49596741556888</v>
      </c>
      <c r="C74" s="287">
        <f t="shared" ref="C74:H74" si="15">C33</f>
        <v>760.87376697391301</v>
      </c>
      <c r="D74" s="287">
        <f t="shared" si="15"/>
        <v>-1414.3472582345457</v>
      </c>
      <c r="E74" s="287">
        <f t="shared" si="15"/>
        <v>2246.8181491967171</v>
      </c>
      <c r="F74" s="287">
        <f t="shared" si="15"/>
        <v>362.40646962519531</v>
      </c>
      <c r="G74" s="287">
        <f t="shared" si="15"/>
        <v>-1408.7354211718975</v>
      </c>
      <c r="H74" s="288">
        <f t="shared" si="15"/>
        <v>11633.286133553605</v>
      </c>
      <c r="I74" s="272"/>
    </row>
    <row r="75" spans="1:9" x14ac:dyDescent="0.3">
      <c r="A75" s="296" t="s">
        <v>144</v>
      </c>
      <c r="B75" s="287">
        <f>B74/B60</f>
        <v>-237.37399185389222</v>
      </c>
      <c r="C75" s="287">
        <f t="shared" ref="C75:H75" si="16">C74/C60</f>
        <v>126.81229449565217</v>
      </c>
      <c r="D75" s="287">
        <f t="shared" si="16"/>
        <v>-288.64229759888684</v>
      </c>
      <c r="E75" s="287">
        <f t="shared" si="16"/>
        <v>1573.4020652638076</v>
      </c>
      <c r="F75" s="287">
        <f t="shared" si="16"/>
        <v>178.26191324407051</v>
      </c>
      <c r="G75" s="287">
        <f t="shared" si="16"/>
        <v>-485.77083488686122</v>
      </c>
      <c r="H75" s="288">
        <f t="shared" si="16"/>
        <v>7905.4160321601012</v>
      </c>
      <c r="I75" s="272"/>
    </row>
    <row r="76" spans="1:9" x14ac:dyDescent="0.3">
      <c r="A76" s="289"/>
      <c r="B76" s="287"/>
      <c r="C76" s="287"/>
      <c r="D76" s="287"/>
      <c r="E76" s="287"/>
      <c r="F76" s="287"/>
      <c r="G76" s="287"/>
      <c r="H76" s="288"/>
      <c r="I76" s="272"/>
    </row>
    <row r="77" spans="1:9" x14ac:dyDescent="0.3">
      <c r="A77" s="289" t="s">
        <v>145</v>
      </c>
      <c r="B77" s="287">
        <f>B34</f>
        <v>-8076.71596741557</v>
      </c>
      <c r="C77" s="287">
        <f t="shared" ref="C77:H77" si="17">C34</f>
        <v>-6567.7362330260876</v>
      </c>
      <c r="D77" s="287">
        <f t="shared" si="17"/>
        <v>-9072.5072582345456</v>
      </c>
      <c r="E77" s="287">
        <f t="shared" si="17"/>
        <v>-4089.4618508032836</v>
      </c>
      <c r="F77" s="287">
        <f t="shared" si="17"/>
        <v>-6422.4635303748073</v>
      </c>
      <c r="G77" s="287">
        <f t="shared" si="17"/>
        <v>-8326.9754211718955</v>
      </c>
      <c r="H77" s="288">
        <f t="shared" si="17"/>
        <v>3752.8161335536061</v>
      </c>
      <c r="I77" s="272"/>
    </row>
    <row r="78" spans="1:9" x14ac:dyDescent="0.3">
      <c r="A78" s="289" t="s">
        <v>146</v>
      </c>
      <c r="B78" s="287">
        <f t="shared" ref="B78:H78" si="18">B77/B4</f>
        <v>-2019.1789918538925</v>
      </c>
      <c r="C78" s="287">
        <f t="shared" si="18"/>
        <v>-1094.622705504348</v>
      </c>
      <c r="D78" s="287">
        <f t="shared" si="18"/>
        <v>-1851.532093517254</v>
      </c>
      <c r="E78" s="287">
        <f t="shared" si="18"/>
        <v>-2863.768803083532</v>
      </c>
      <c r="F78" s="287">
        <f t="shared" si="18"/>
        <v>-3159.1065078085626</v>
      </c>
      <c r="G78" s="287">
        <f t="shared" si="18"/>
        <v>-2871.3708348868604</v>
      </c>
      <c r="H78" s="288">
        <f t="shared" si="18"/>
        <v>2550.2315070179784</v>
      </c>
      <c r="I78" s="272"/>
    </row>
    <row r="79" spans="1:9" x14ac:dyDescent="0.3">
      <c r="A79" s="289"/>
      <c r="B79" s="287"/>
      <c r="C79" s="287"/>
      <c r="D79" s="287"/>
      <c r="E79" s="287"/>
      <c r="F79" s="287"/>
      <c r="G79" s="287"/>
      <c r="H79" s="288"/>
      <c r="I79" s="272"/>
    </row>
    <row r="80" spans="1:9" x14ac:dyDescent="0.3">
      <c r="A80" s="300" t="s">
        <v>147</v>
      </c>
      <c r="B80" s="298"/>
      <c r="C80" s="298"/>
      <c r="D80" s="298"/>
      <c r="E80" s="298"/>
      <c r="F80" s="298"/>
      <c r="G80" s="298"/>
      <c r="H80" s="299"/>
      <c r="I80" s="272"/>
    </row>
    <row r="81" spans="1:9" ht="15" thickBot="1" x14ac:dyDescent="0.35">
      <c r="A81" s="296" t="s">
        <v>148</v>
      </c>
      <c r="B81" s="280">
        <f>B67/B63</f>
        <v>4.2439609371571345</v>
      </c>
      <c r="C81" s="280">
        <f t="shared" ref="C81:H81" si="19">C67/C63</f>
        <v>5.8045031431207832</v>
      </c>
      <c r="D81" s="280">
        <f t="shared" si="19"/>
        <v>5.2633985761137074</v>
      </c>
      <c r="E81" s="280">
        <f t="shared" si="19"/>
        <v>1.1921564157694489</v>
      </c>
      <c r="F81" s="280">
        <f t="shared" si="19"/>
        <v>1.9884071035283382</v>
      </c>
      <c r="G81" s="280">
        <f t="shared" si="19"/>
        <v>3.3182706119869052</v>
      </c>
      <c r="H81" s="301">
        <f t="shared" si="19"/>
        <v>0.75302690606155132</v>
      </c>
      <c r="I81" s="272"/>
    </row>
    <row r="82" spans="1:9" ht="15.6" thickTop="1" thickBot="1" x14ac:dyDescent="0.35">
      <c r="A82" s="296" t="s">
        <v>149</v>
      </c>
      <c r="B82" s="281">
        <f t="shared" ref="B82:H82" si="20">B68+B6</f>
        <v>4549.3739918538922</v>
      </c>
      <c r="C82" s="282">
        <f t="shared" si="20"/>
        <v>4185.1877055043478</v>
      </c>
      <c r="D82" s="282">
        <f t="shared" si="20"/>
        <v>4600.6422975988871</v>
      </c>
      <c r="E82" s="282">
        <f t="shared" si="20"/>
        <v>8426.5979347361917</v>
      </c>
      <c r="F82" s="282">
        <f t="shared" si="20"/>
        <v>8166.7380867559295</v>
      </c>
      <c r="G82" s="282">
        <f t="shared" si="20"/>
        <v>3985.7708348868609</v>
      </c>
      <c r="H82" s="302">
        <f t="shared" si="20"/>
        <v>8347.933967839901</v>
      </c>
      <c r="I82" s="272"/>
    </row>
    <row r="83" spans="1:9" ht="15" thickTop="1" x14ac:dyDescent="0.3">
      <c r="A83" s="300" t="s">
        <v>150</v>
      </c>
      <c r="B83" s="298"/>
      <c r="C83" s="298"/>
      <c r="D83" s="298"/>
      <c r="E83" s="298"/>
      <c r="F83" s="298"/>
      <c r="G83" s="298"/>
      <c r="H83" s="299"/>
      <c r="I83" s="272"/>
    </row>
    <row r="84" spans="1:9" ht="15" thickBot="1" x14ac:dyDescent="0.35">
      <c r="A84" s="296" t="s">
        <v>148</v>
      </c>
      <c r="B84" s="280">
        <f>B70/B63</f>
        <v>6.0752096524705985</v>
      </c>
      <c r="C84" s="280">
        <f t="shared" ref="C84:H84" si="21">C70/C63</f>
        <v>7.6874964627507936</v>
      </c>
      <c r="D84" s="280">
        <f t="shared" si="21"/>
        <v>7.2310655853634502</v>
      </c>
      <c r="E84" s="280">
        <f t="shared" si="21"/>
        <v>1.8572618611846123</v>
      </c>
      <c r="F84" s="280">
        <f t="shared" si="21"/>
        <v>2.8232625237325957</v>
      </c>
      <c r="G84" s="280">
        <f t="shared" si="21"/>
        <v>5.372379875644862</v>
      </c>
      <c r="H84" s="301">
        <f t="shared" si="21"/>
        <v>1.2397656115249909</v>
      </c>
      <c r="I84" s="272"/>
    </row>
    <row r="85" spans="1:9" ht="15.6" thickTop="1" thickBot="1" x14ac:dyDescent="0.35">
      <c r="A85" s="303" t="s">
        <v>149</v>
      </c>
      <c r="B85" s="304">
        <f t="shared" ref="B85:H85" si="22">B71+B6</f>
        <v>6331.1789918538925</v>
      </c>
      <c r="C85" s="305">
        <f t="shared" si="22"/>
        <v>5406.6227055043482</v>
      </c>
      <c r="D85" s="305">
        <f t="shared" si="22"/>
        <v>6163.532093517254</v>
      </c>
      <c r="E85" s="305">
        <f t="shared" si="22"/>
        <v>12863.768803083531</v>
      </c>
      <c r="F85" s="305">
        <f t="shared" si="22"/>
        <v>11504.106507808563</v>
      </c>
      <c r="G85" s="305">
        <f t="shared" si="22"/>
        <v>6371.3708348868604</v>
      </c>
      <c r="H85" s="306">
        <f t="shared" si="22"/>
        <v>13703.118492982023</v>
      </c>
      <c r="I85" s="272"/>
    </row>
  </sheetData>
  <mergeCells count="1">
    <mergeCell ref="A36:H36"/>
  </mergeCells>
  <conditionalFormatting sqref="B33:H35">
    <cfRule type="colorScale" priority="77">
      <colorScale>
        <cfvo type="min"/>
        <cfvo type="percentile" val="50"/>
        <cfvo type="max"/>
        <color rgb="FFF8696B"/>
        <color rgb="FFFFEB84"/>
        <color rgb="FF63BE7B"/>
      </colorScale>
    </cfRule>
  </conditionalFormatting>
  <conditionalFormatting sqref="E33:H35">
    <cfRule type="colorScale" priority="78">
      <colorScale>
        <cfvo type="min"/>
        <cfvo type="percentile" val="50"/>
        <cfvo type="max"/>
        <color rgb="FFF8696B"/>
        <color rgb="FFFFEB84"/>
        <color rgb="FF63BE7B"/>
      </colorScale>
    </cfRule>
  </conditionalFormatting>
  <conditionalFormatting sqref="E34:H34 B34:D35 B33:H33">
    <cfRule type="colorScale" priority="79">
      <colorScale>
        <cfvo type="min"/>
        <cfvo type="percentile" val="50"/>
        <cfvo type="max"/>
        <color rgb="FFF8696B"/>
        <color rgb="FFFFEB84"/>
        <color rgb="FF63BE7B"/>
      </colorScale>
    </cfRule>
  </conditionalFormatting>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F190A-0CC6-4019-959C-7DE2F04DCDD8}">
  <dimension ref="A1:F77"/>
  <sheetViews>
    <sheetView topLeftCell="A51" zoomScale="70" zoomScaleNormal="70" workbookViewId="0">
      <selection activeCell="AC75" sqref="AC75"/>
    </sheetView>
  </sheetViews>
  <sheetFormatPr defaultColWidth="9.109375" defaultRowHeight="14.4" x14ac:dyDescent="0.3"/>
  <cols>
    <col min="1" max="1" width="23.88671875" style="307" bestFit="1" customWidth="1"/>
    <col min="2" max="2" width="7" style="307" bestFit="1" customWidth="1"/>
    <col min="3" max="3" width="8.44140625" style="307" customWidth="1"/>
    <col min="4" max="4" width="17.109375" style="307" customWidth="1"/>
    <col min="5" max="5" width="9.109375" style="307" customWidth="1"/>
    <col min="6" max="6" width="6.6640625" style="335" bestFit="1" customWidth="1"/>
    <col min="7" max="16384" width="9.109375" style="307"/>
  </cols>
  <sheetData>
    <row r="1" spans="1:6" s="318" customFormat="1" ht="35.4" customHeight="1" x14ac:dyDescent="0.25">
      <c r="A1" s="351" t="s">
        <v>151</v>
      </c>
      <c r="B1" s="352"/>
      <c r="C1" s="353"/>
      <c r="D1" s="351" t="s">
        <v>152</v>
      </c>
      <c r="E1" s="352"/>
      <c r="F1" s="353"/>
    </row>
    <row r="2" spans="1:6" x14ac:dyDescent="0.3">
      <c r="A2" s="326" t="s">
        <v>153</v>
      </c>
      <c r="B2" s="319">
        <v>0</v>
      </c>
      <c r="C2" s="320">
        <v>0</v>
      </c>
      <c r="D2" s="328" t="s">
        <v>154</v>
      </c>
      <c r="E2" s="319"/>
      <c r="F2" s="332">
        <f>((B4+B3+F7)/B7)*100</f>
        <v>43.835627766760879</v>
      </c>
    </row>
    <row r="3" spans="1:6" x14ac:dyDescent="0.3">
      <c r="A3" s="326" t="s">
        <v>155</v>
      </c>
      <c r="B3" s="322">
        <f>'Crop Comparison'!C27</f>
        <v>22591.126233026087</v>
      </c>
      <c r="C3" s="321">
        <f>B3/$B$7*100</f>
        <v>42.407339858806033</v>
      </c>
      <c r="D3" s="328" t="s">
        <v>152</v>
      </c>
      <c r="E3" s="319"/>
      <c r="F3" s="333">
        <v>1</v>
      </c>
    </row>
    <row r="4" spans="1:6" x14ac:dyDescent="0.3">
      <c r="A4" s="326" t="s">
        <v>156</v>
      </c>
      <c r="B4" s="322">
        <f>'Crop Comparison'!C29</f>
        <v>7328.6099999999988</v>
      </c>
      <c r="C4" s="321">
        <f>B4/$B$7*100</f>
        <v>13.757032374433084</v>
      </c>
      <c r="D4" s="328" t="s">
        <v>157</v>
      </c>
      <c r="E4" s="319"/>
      <c r="F4" s="332">
        <f>C7-F3-F2</f>
        <v>155.16437223323913</v>
      </c>
    </row>
    <row r="5" spans="1:6" x14ac:dyDescent="0.3">
      <c r="A5" s="326" t="s">
        <v>158</v>
      </c>
      <c r="B5" s="322">
        <f>'Crop Comparison'!C8</f>
        <v>23352</v>
      </c>
      <c r="C5" s="321">
        <f>B5/$B$7*100</f>
        <v>43.835627766760879</v>
      </c>
      <c r="D5" s="326"/>
      <c r="E5" s="319"/>
      <c r="F5" s="333"/>
    </row>
    <row r="6" spans="1:6" x14ac:dyDescent="0.3">
      <c r="A6" s="326" t="s">
        <v>159</v>
      </c>
      <c r="B6" s="319"/>
      <c r="C6" s="320">
        <v>100</v>
      </c>
      <c r="D6" s="326"/>
      <c r="E6" s="319"/>
      <c r="F6" s="333"/>
    </row>
    <row r="7" spans="1:6" ht="15" thickBot="1" x14ac:dyDescent="0.35">
      <c r="A7" s="327" t="s">
        <v>160</v>
      </c>
      <c r="B7" s="323">
        <f>SUM(B3:B5)</f>
        <v>53271.736233026088</v>
      </c>
      <c r="C7" s="324">
        <f>SUM(C2:C6)</f>
        <v>200</v>
      </c>
      <c r="D7" s="327" t="s">
        <v>161</v>
      </c>
      <c r="E7" s="325"/>
      <c r="F7" s="334">
        <f>B5-(B3+B4)</f>
        <v>-6567.7362330260876</v>
      </c>
    </row>
    <row r="16" spans="1:6" ht="15" thickBot="1" x14ac:dyDescent="0.35"/>
    <row r="17" spans="1:6" s="317" customFormat="1" ht="30" customHeight="1" x14ac:dyDescent="0.25">
      <c r="A17" s="351" t="s">
        <v>162</v>
      </c>
      <c r="B17" s="352"/>
      <c r="C17" s="353"/>
      <c r="D17" s="351" t="s">
        <v>152</v>
      </c>
      <c r="E17" s="352"/>
      <c r="F17" s="353"/>
    </row>
    <row r="18" spans="1:6" x14ac:dyDescent="0.3">
      <c r="A18" s="326" t="s">
        <v>153</v>
      </c>
      <c r="B18" s="319">
        <v>0</v>
      </c>
      <c r="C18" s="320">
        <v>0</v>
      </c>
      <c r="D18" s="328" t="s">
        <v>154</v>
      </c>
      <c r="E18" s="319"/>
      <c r="F18" s="332">
        <f>((B20+B19+F23)/B23)*100</f>
        <v>39.701407096964353</v>
      </c>
    </row>
    <row r="19" spans="1:6" x14ac:dyDescent="0.3">
      <c r="A19" s="326" t="s">
        <v>155</v>
      </c>
      <c r="B19" s="322">
        <f>'Crop Comparison'!B27</f>
        <v>16517.495967415569</v>
      </c>
      <c r="C19" s="321">
        <f>B19/$B$23*100</f>
        <v>42.122805217422446</v>
      </c>
      <c r="D19" s="328" t="s">
        <v>152</v>
      </c>
      <c r="E19" s="319"/>
      <c r="F19" s="333">
        <v>1</v>
      </c>
    </row>
    <row r="20" spans="1:6" x14ac:dyDescent="0.3">
      <c r="A20" s="326" t="s">
        <v>156</v>
      </c>
      <c r="B20" s="322">
        <f>'Crop Comparison'!B29</f>
        <v>7127.22</v>
      </c>
      <c r="C20" s="321">
        <f>B20/$B$23*100</f>
        <v>18.175787685613201</v>
      </c>
      <c r="D20" s="328" t="s">
        <v>157</v>
      </c>
      <c r="E20" s="319"/>
      <c r="F20" s="332">
        <f>C23-F19-F18</f>
        <v>159.29859290303565</v>
      </c>
    </row>
    <row r="21" spans="1:6" x14ac:dyDescent="0.3">
      <c r="A21" s="326" t="s">
        <v>158</v>
      </c>
      <c r="B21" s="322">
        <f>'Crop Comparison'!B8</f>
        <v>15568</v>
      </c>
      <c r="C21" s="321">
        <f>B21/$B$23*100</f>
        <v>39.701407096964353</v>
      </c>
      <c r="D21" s="326"/>
      <c r="E21" s="319"/>
      <c r="F21" s="333"/>
    </row>
    <row r="22" spans="1:6" x14ac:dyDescent="0.3">
      <c r="A22" s="326" t="s">
        <v>159</v>
      </c>
      <c r="B22" s="319"/>
      <c r="C22" s="321">
        <v>100</v>
      </c>
      <c r="D22" s="326"/>
      <c r="E22" s="319"/>
      <c r="F22" s="333"/>
    </row>
    <row r="23" spans="1:6" ht="15" thickBot="1" x14ac:dyDescent="0.35">
      <c r="A23" s="327" t="s">
        <v>160</v>
      </c>
      <c r="B23" s="323">
        <f>SUM(B19:B21)</f>
        <v>39212.71596741557</v>
      </c>
      <c r="C23" s="324">
        <f>SUM(C18:C22)</f>
        <v>200</v>
      </c>
      <c r="D23" s="327" t="s">
        <v>161</v>
      </c>
      <c r="E23" s="325"/>
      <c r="F23" s="334">
        <f>B21-(B19+B20)</f>
        <v>-8076.71596741557</v>
      </c>
    </row>
    <row r="33" spans="1:6" ht="15" thickBot="1" x14ac:dyDescent="0.35">
      <c r="A33" s="316"/>
      <c r="B33" s="316"/>
      <c r="C33" s="316"/>
      <c r="D33" s="316"/>
      <c r="E33" s="316"/>
      <c r="F33" s="336"/>
    </row>
    <row r="34" spans="1:6" s="317" customFormat="1" ht="31.2" customHeight="1" x14ac:dyDescent="0.25">
      <c r="A34" s="351" t="s">
        <v>163</v>
      </c>
      <c r="B34" s="352"/>
      <c r="C34" s="353"/>
      <c r="D34" s="354" t="s">
        <v>152</v>
      </c>
      <c r="E34" s="355"/>
      <c r="F34" s="356"/>
    </row>
    <row r="35" spans="1:6" x14ac:dyDescent="0.3">
      <c r="A35" s="329" t="s">
        <v>153</v>
      </c>
      <c r="B35" s="307">
        <v>0</v>
      </c>
      <c r="C35" s="309">
        <v>0</v>
      </c>
      <c r="D35" s="331" t="s">
        <v>154</v>
      </c>
      <c r="F35" s="337">
        <f>((B37+B36+F40)/B40)*100</f>
        <v>43.466854708655895</v>
      </c>
    </row>
    <row r="36" spans="1:6" x14ac:dyDescent="0.3">
      <c r="A36" s="329" t="s">
        <v>155</v>
      </c>
      <c r="B36" s="311">
        <f>'Crop Comparison'!E27</f>
        <v>11357.352290803281</v>
      </c>
      <c r="C36" s="310">
        <f>B36/$B$40*100</f>
        <v>36.288018007172695</v>
      </c>
      <c r="D36" s="331" t="s">
        <v>152</v>
      </c>
      <c r="F36" s="338">
        <v>1</v>
      </c>
    </row>
    <row r="37" spans="1:6" x14ac:dyDescent="0.3">
      <c r="A37" s="329" t="s">
        <v>156</v>
      </c>
      <c r="B37" s="311">
        <f>'Crop Comparison'!E29</f>
        <v>6336.2800000000007</v>
      </c>
      <c r="C37" s="310">
        <f>B37/$B$40*100</f>
        <v>20.245127284171414</v>
      </c>
      <c r="D37" s="331" t="s">
        <v>157</v>
      </c>
      <c r="F37" s="337">
        <f>C40-F36-F35</f>
        <v>155.53314529134411</v>
      </c>
    </row>
    <row r="38" spans="1:6" x14ac:dyDescent="0.3">
      <c r="A38" s="329" t="s">
        <v>158</v>
      </c>
      <c r="B38" s="311">
        <f>'Crop Comparison'!E8</f>
        <v>13604.170439999998</v>
      </c>
      <c r="C38" s="310">
        <f>B38/$B$40*100</f>
        <v>43.466854708655895</v>
      </c>
      <c r="D38" s="329"/>
      <c r="F38" s="338"/>
    </row>
    <row r="39" spans="1:6" x14ac:dyDescent="0.3">
      <c r="A39" s="329" t="s">
        <v>159</v>
      </c>
      <c r="C39" s="309">
        <v>100</v>
      </c>
      <c r="D39" s="329"/>
      <c r="F39" s="338"/>
    </row>
    <row r="40" spans="1:6" ht="15" thickBot="1" x14ac:dyDescent="0.35">
      <c r="A40" s="330" t="s">
        <v>160</v>
      </c>
      <c r="B40" s="313">
        <f>SUM(B36:B38)</f>
        <v>31297.80273080328</v>
      </c>
      <c r="C40" s="314">
        <f>SUM(C35:C39)</f>
        <v>200</v>
      </c>
      <c r="D40" s="330" t="s">
        <v>161</v>
      </c>
      <c r="E40" s="315"/>
      <c r="F40" s="339">
        <f>B38-(B36+B37)</f>
        <v>-4089.4618508032836</v>
      </c>
    </row>
    <row r="50" spans="1:6" ht="15" thickBot="1" x14ac:dyDescent="0.35"/>
    <row r="51" spans="1:6" s="317" customFormat="1" ht="31.2" customHeight="1" x14ac:dyDescent="0.25">
      <c r="A51" s="351" t="s">
        <v>164</v>
      </c>
      <c r="B51" s="352"/>
      <c r="C51" s="353"/>
      <c r="D51" s="354" t="s">
        <v>152</v>
      </c>
      <c r="E51" s="355"/>
      <c r="F51" s="356"/>
    </row>
    <row r="52" spans="1:6" x14ac:dyDescent="0.3">
      <c r="A52" s="329" t="s">
        <v>153</v>
      </c>
      <c r="B52" s="307">
        <v>0</v>
      </c>
      <c r="C52" s="309">
        <v>0</v>
      </c>
      <c r="D52" s="331" t="s">
        <v>154</v>
      </c>
      <c r="F52" s="337">
        <f>((B54+B53+F57)/B57)*100</f>
        <v>41.863469902310918</v>
      </c>
    </row>
    <row r="53" spans="1:6" x14ac:dyDescent="0.3">
      <c r="A53" s="329" t="s">
        <v>155</v>
      </c>
      <c r="B53" s="311">
        <f>'Crop Comparison'!F27</f>
        <v>16159.784530374804</v>
      </c>
      <c r="C53" s="310">
        <f>B53/$B$57*100</f>
        <v>40.945214427988105</v>
      </c>
      <c r="D53" s="331" t="s">
        <v>152</v>
      </c>
      <c r="F53" s="338">
        <v>1</v>
      </c>
    </row>
    <row r="54" spans="1:6" x14ac:dyDescent="0.3">
      <c r="A54" s="329" t="s">
        <v>156</v>
      </c>
      <c r="B54" s="311">
        <f>'Crop Comparison'!F29</f>
        <v>6784.8700000000008</v>
      </c>
      <c r="C54" s="310">
        <f>B54/$B$57*100</f>
        <v>17.19131566970097</v>
      </c>
      <c r="D54" s="331" t="s">
        <v>157</v>
      </c>
      <c r="F54" s="337">
        <f>C57-F53-F52</f>
        <v>157.13653009768908</v>
      </c>
    </row>
    <row r="55" spans="1:6" x14ac:dyDescent="0.3">
      <c r="A55" s="329" t="s">
        <v>158</v>
      </c>
      <c r="B55" s="311">
        <f>'Crop Comparison'!F8</f>
        <v>16522.190999999999</v>
      </c>
      <c r="C55" s="310">
        <f>B55/$B$57*100</f>
        <v>41.863469902310918</v>
      </c>
      <c r="D55" s="329"/>
      <c r="F55" s="338"/>
    </row>
    <row r="56" spans="1:6" x14ac:dyDescent="0.3">
      <c r="A56" s="329" t="s">
        <v>159</v>
      </c>
      <c r="C56" s="309">
        <v>100</v>
      </c>
      <c r="D56" s="329"/>
      <c r="F56" s="338"/>
    </row>
    <row r="57" spans="1:6" ht="15" thickBot="1" x14ac:dyDescent="0.35">
      <c r="A57" s="330" t="s">
        <v>160</v>
      </c>
      <c r="B57" s="313">
        <f>SUM(B53:B55)</f>
        <v>39466.845530374805</v>
      </c>
      <c r="C57" s="314">
        <f>SUM(C52:C56)</f>
        <v>200</v>
      </c>
      <c r="D57" s="330" t="s">
        <v>161</v>
      </c>
      <c r="E57" s="315"/>
      <c r="F57" s="339">
        <f>B55-(B53+B54)</f>
        <v>-6422.4635303748073</v>
      </c>
    </row>
    <row r="70" spans="1:6" ht="15" thickBot="1" x14ac:dyDescent="0.35"/>
    <row r="71" spans="1:6" x14ac:dyDescent="0.3">
      <c r="A71" s="357" t="s">
        <v>165</v>
      </c>
      <c r="B71" s="358"/>
      <c r="C71" s="359"/>
      <c r="D71" s="357" t="s">
        <v>152</v>
      </c>
      <c r="E71" s="358"/>
      <c r="F71" s="359"/>
    </row>
    <row r="72" spans="1:6" x14ac:dyDescent="0.3">
      <c r="A72" s="308" t="s">
        <v>153</v>
      </c>
      <c r="B72" s="307">
        <v>0</v>
      </c>
      <c r="C72" s="309">
        <v>0</v>
      </c>
      <c r="D72" s="307" t="s">
        <v>154</v>
      </c>
      <c r="F72" s="337">
        <f>((B74+B73+F77)/B77)*100</f>
        <v>54.274541493738106</v>
      </c>
    </row>
    <row r="73" spans="1:6" x14ac:dyDescent="0.3">
      <c r="A73" s="308" t="s">
        <v>155</v>
      </c>
      <c r="B73" s="311">
        <f>'Crop Comparison'!H27</f>
        <v>12191.769168553639</v>
      </c>
      <c r="C73" s="310">
        <f>B73/$B$77*100</f>
        <v>27.773395412107021</v>
      </c>
      <c r="D73" s="307" t="s">
        <v>152</v>
      </c>
      <c r="F73" s="338">
        <v>1</v>
      </c>
    </row>
    <row r="74" spans="1:6" x14ac:dyDescent="0.3">
      <c r="A74" s="308" t="s">
        <v>156</v>
      </c>
      <c r="B74" s="311">
        <f>'Crop Comparison'!H29</f>
        <v>7880.47</v>
      </c>
      <c r="C74" s="310">
        <f t="shared" ref="C74:C75" si="0">B74/$B$77*100</f>
        <v>17.952063094154873</v>
      </c>
      <c r="D74" s="307" t="s">
        <v>157</v>
      </c>
      <c r="F74" s="337">
        <f>C77-F73-F72</f>
        <v>144.7254585062619</v>
      </c>
    </row>
    <row r="75" spans="1:6" x14ac:dyDescent="0.3">
      <c r="A75" s="308" t="s">
        <v>158</v>
      </c>
      <c r="B75" s="311">
        <f>'Crop Comparison'!H8</f>
        <v>23825.055302107245</v>
      </c>
      <c r="C75" s="310">
        <f t="shared" si="0"/>
        <v>54.274541493738106</v>
      </c>
      <c r="D75" s="308"/>
      <c r="F75" s="338"/>
    </row>
    <row r="76" spans="1:6" x14ac:dyDescent="0.3">
      <c r="A76" s="308" t="s">
        <v>159</v>
      </c>
      <c r="C76" s="309">
        <v>100</v>
      </c>
      <c r="D76" s="308"/>
      <c r="F76" s="338"/>
    </row>
    <row r="77" spans="1:6" ht="15" thickBot="1" x14ac:dyDescent="0.35">
      <c r="A77" s="312" t="s">
        <v>160</v>
      </c>
      <c r="B77" s="313">
        <f>SUM(B73:B75)</f>
        <v>43897.294470660883</v>
      </c>
      <c r="C77" s="314">
        <f>SUM(C72:C76)</f>
        <v>200</v>
      </c>
      <c r="D77" s="312" t="s">
        <v>161</v>
      </c>
      <c r="E77" s="315"/>
      <c r="F77" s="339">
        <f>B75-(B73+B74)</f>
        <v>3752.8161335536061</v>
      </c>
    </row>
  </sheetData>
  <mergeCells count="10">
    <mergeCell ref="A51:C51"/>
    <mergeCell ref="D51:F51"/>
    <mergeCell ref="A71:C71"/>
    <mergeCell ref="D71:F71"/>
    <mergeCell ref="A1:C1"/>
    <mergeCell ref="D1:F1"/>
    <mergeCell ref="A17:C17"/>
    <mergeCell ref="D17:F17"/>
    <mergeCell ref="A34:C34"/>
    <mergeCell ref="D34:F3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13a0b348-8834-4d7c-b06d-697f5a4282a4" xsi:nil="true"/>
    <TaxCatchAll xmlns="95943543-aac6-4fde-8f8b-77a9ea0cd5ed" xsi:nil="true"/>
    <lcf76f155ced4ddcb4097134ff3c332f xmlns="13a0b348-8834-4d7c-b06d-697f5a4282a4">
      <Terms xmlns="http://schemas.microsoft.com/office/infopath/2007/PartnerControls"/>
    </lcf76f155ced4ddcb4097134ff3c332f>
    <FileType xmlns="13a0b348-8834-4d7c-b06d-697f5a4282a4">Budget</FileType>
    <Productionseason xmlns="13a0b348-8834-4d7c-b06d-697f5a4282a4">2026-2027</Productionseason>
    <CropType xmlns="13a0b348-8834-4d7c-b06d-697f5a4282a4">Summergrain</CropType>
    <Commodity xmlns="13a0b348-8834-4d7c-b06d-697f5a4282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34FFA60B85ED4788681866754E016A" ma:contentTypeVersion="16" ma:contentTypeDescription="Create a new document." ma:contentTypeScope="" ma:versionID="b77f188cd9bc58b62dcf211ad9302814">
  <xsd:schema xmlns:xsd="http://www.w3.org/2001/XMLSchema" xmlns:xs="http://www.w3.org/2001/XMLSchema" xmlns:p="http://schemas.microsoft.com/office/2006/metadata/properties" xmlns:ns2="13a0b348-8834-4d7c-b06d-697f5a4282a4" xmlns:ns3="95943543-aac6-4fde-8f8b-77a9ea0cd5ed" targetNamespace="http://schemas.microsoft.com/office/2006/metadata/properties" ma:root="true" ma:fieldsID="367b602f478b113fb50ea0fb44ea6cab" ns2:_="" ns3:_="">
    <xsd:import namespace="13a0b348-8834-4d7c-b06d-697f5a4282a4"/>
    <xsd:import namespace="95943543-aac6-4fde-8f8b-77a9ea0cd5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ocumentTyp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Productionseason" minOccurs="0"/>
                <xsd:element ref="ns2:CropType" minOccurs="0"/>
                <xsd:element ref="ns2:FileType" minOccurs="0"/>
                <xsd:element ref="ns2:Commod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0b348-8834-4d7c-b06d-697f5a428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ocumentType" ma:index="11" nillable="true" ma:displayName="Document Type" ma:format="Dropdown" ma:internalName="DocumentType">
      <xsd:simpleType>
        <xsd:restriction base="dms:Choice">
          <xsd:enumeration value="CEC Data"/>
          <xsd:enumeration value="Choice 2"/>
          <xsd:enumeration value="Choice 3"/>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3362023-a8c1-4b5e-9a31-595cfc7316f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Productionseason" ma:index="20" nillable="true" ma:displayName="Production season" ma:format="Dropdown" ma:internalName="Productionseason">
      <xsd:simpleType>
        <xsd:restriction base="dms:Choice">
          <xsd:enumeration value="2026-2027"/>
          <xsd:enumeration value="2025-2026"/>
          <xsd:enumeration value="2024-2025"/>
        </xsd:restriction>
      </xsd:simpleType>
    </xsd:element>
    <xsd:element name="CropType" ma:index="21" nillable="true" ma:displayName="Crop Type" ma:format="Dropdown" ma:internalName="CropType">
      <xsd:simpleType>
        <xsd:restriction base="dms:Choice">
          <xsd:enumeration value="Summergrain"/>
          <xsd:enumeration value="Wintercereal"/>
          <xsd:enumeration value="Choice 3"/>
        </xsd:restriction>
      </xsd:simpleType>
    </xsd:element>
    <xsd:element name="FileType" ma:index="22" nillable="true" ma:displayName="File Type" ma:format="Dropdown" ma:internalName="FileType">
      <xsd:simpleType>
        <xsd:restriction base="dms:Choice">
          <xsd:enumeration value="Budget"/>
          <xsd:enumeration value="Model"/>
        </xsd:restriction>
      </xsd:simpleType>
    </xsd:element>
    <xsd:element name="Commodity" ma:index="23" nillable="true" ma:displayName="Commodity" ma:format="Dropdown" ma:internalName="Commodity">
      <xsd:simpleType>
        <xsd:union memberTypes="dms:Text">
          <xsd:simpleType>
            <xsd:restriction base="dms:Choice">
              <xsd:enumeration value="Soybeans"/>
              <xsd:enumeration value="Maize"/>
              <xsd:enumeration value="Sunflower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943543-aac6-4fde-8f8b-77a9ea0cd5e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c573613-ccca-48a7-99d6-f425781793e5}" ma:internalName="TaxCatchAll" ma:showField="CatchAllData" ma:web="95943543-aac6-4fde-8f8b-77a9ea0cd5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C8E82B7-1571-46C7-A951-94BE145F8682}">
  <ds:schemaRefs>
    <ds:schemaRef ds:uri="http://schemas.microsoft.com/office/2006/documentManagement/types"/>
    <ds:schemaRef ds:uri="13a0b348-8834-4d7c-b06d-697f5a4282a4"/>
    <ds:schemaRef ds:uri="http://schemas.openxmlformats.org/package/2006/metadata/core-properties"/>
    <ds:schemaRef ds:uri="http://purl.org/dc/terms/"/>
    <ds:schemaRef ds:uri="95943543-aac6-4fde-8f8b-77a9ea0cd5ed"/>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C1FEC93-6801-41ED-8C47-7DDA3A68BD3C}">
  <ds:schemaRefs>
    <ds:schemaRef ds:uri="http://schemas.microsoft.com/sharepoint/v3/contenttype/forms"/>
  </ds:schemaRefs>
</ds:datastoreItem>
</file>

<file path=customXml/itemProps3.xml><?xml version="1.0" encoding="utf-8"?>
<ds:datastoreItem xmlns:ds="http://schemas.openxmlformats.org/officeDocument/2006/customXml" ds:itemID="{C9B340C8-F0FE-4002-AB2A-6C1CB2EA2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0b348-8834-4d7c-b06d-697f5a4282a4"/>
    <ds:schemaRef ds:uri="95943543-aac6-4fde-8f8b-77a9ea0cd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27C4FE-94EC-4313-BE22-5577F9A47DB4}">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Pryse + Sensatiwiteitsanali</vt:lpstr>
      <vt:lpstr>W-RR mielies Laer opbrengs </vt:lpstr>
      <vt:lpstr>W-RR mielies Hoer opbrengs  </vt:lpstr>
      <vt:lpstr>W-BT Mielies </vt:lpstr>
      <vt:lpstr>Sonneblom</vt:lpstr>
      <vt:lpstr>Graansorghum</vt:lpstr>
      <vt:lpstr>Grondbone</vt:lpstr>
      <vt:lpstr>Sojabone</vt:lpstr>
      <vt:lpstr>Crop Comparison</vt:lpstr>
      <vt:lpstr>Grafieke</vt:lpstr>
      <vt:lpstr>BTopbrengspeil</vt:lpstr>
      <vt:lpstr>Graansorghum!Print_Area</vt:lpstr>
      <vt:lpstr>Grondbone!Print_Area</vt:lpstr>
      <vt:lpstr>Sojabone!Print_Area</vt:lpstr>
      <vt:lpstr>Sonneblom!Print_Area</vt:lpstr>
      <vt:lpstr>'W-BT Mielies '!Print_Area</vt:lpstr>
      <vt:lpstr>'W-RR mielies Hoer opbrengs  '!Print_Area</vt:lpstr>
      <vt:lpstr>'W-RR mielies Laer opbrengs '!Print_Area</vt:lpstr>
      <vt:lpstr>RRHpbrengspeil</vt:lpstr>
      <vt:lpstr>RRLopbrengspeil</vt:lpstr>
      <vt:lpstr>RRopbrengspeil</vt:lpstr>
      <vt:lpstr>Sojaopbrengspeil</vt:lpstr>
      <vt:lpstr>Sonopbrengspeil</vt:lpstr>
      <vt:lpstr>Sorgopbrengspeil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Private</dc:creator>
  <cp:keywords/>
  <dc:description/>
  <cp:lastModifiedBy>Cathrine Mathekga</cp:lastModifiedBy>
  <cp:revision/>
  <dcterms:created xsi:type="dcterms:W3CDTF">2007-01-09T12:07:13Z</dcterms:created>
  <dcterms:modified xsi:type="dcterms:W3CDTF">2026-09-08T13:35:17Z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Petru Fourie</vt:lpwstr>
  </property>
  <property fmtid="{D5CDD505-2E9C-101B-9397-08002B2CF9AE}" pid="3" name="Order">
    <vt:lpwstr>16553000.0000000</vt:lpwstr>
  </property>
  <property fmtid="{D5CDD505-2E9C-101B-9397-08002B2CF9AE}" pid="4" name="display_urn:schemas-microsoft-com:office:office#Author">
    <vt:lpwstr>Petru Fourie</vt:lpwstr>
  </property>
  <property fmtid="{D5CDD505-2E9C-101B-9397-08002B2CF9AE}" pid="5" name="MediaServiceImageTags">
    <vt:lpwstr/>
  </property>
  <property fmtid="{D5CDD505-2E9C-101B-9397-08002B2CF9AE}" pid="6" name="ContentTypeId">
    <vt:lpwstr>0x010100DF34FFA60B85ED4788681866754E016A</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