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Somer gewas streke/Somer begrotings/2024-25/Jul/"/>
    </mc:Choice>
  </mc:AlternateContent>
  <xr:revisionPtr revIDLastSave="151" documentId="13_ncr:1_{32AF14AF-33DA-4052-891C-44C42A5E93E8}" xr6:coauthVersionLast="47" xr6:coauthVersionMax="47" xr10:uidLastSave="{FDB18306-8955-48A6-B89A-B0AD52AF72EF}"/>
  <bookViews>
    <workbookView xWindow="28680" yWindow="-120" windowWidth="24240" windowHeight="13020" tabRatio="920" activeTab="4" xr2:uid="{00000000-000D-0000-FFFF-FFFF00000000}"/>
  </bookViews>
  <sheets>
    <sheet name="Pryse + Sensatiwiteitsanalise" sheetId="38" r:id="rId1"/>
    <sheet name="Bes-mielies" sheetId="23" r:id="rId2"/>
    <sheet name="Bes-soja (vermin bewerk)" sheetId="24" r:id="rId3"/>
    <sheet name="Bes-Grondbone" sheetId="40" r:id="rId4"/>
    <sheet name="Crop Comparison" sheetId="39" r:id="rId5"/>
  </sheets>
  <externalReferences>
    <externalReference r:id="rId6"/>
  </externalReferences>
  <definedNames>
    <definedName name="Opbrengspeil">'Bes-mielies'!$S$9:$S$14</definedName>
    <definedName name="_xlnm.Print_Area" localSheetId="1">'Bes-mielies'!$A$1:$I$47</definedName>
    <definedName name="_xlnm.Print_Area" localSheetId="2">'Bes-soja (vermin bewerk)'!$A$1:$I$43</definedName>
    <definedName name="Sojaopbrengspeil">'Bes-soja (vermin bewerk)'!$S$9:$S$14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9" l="1"/>
  <c r="B13" i="39"/>
  <c r="B14" i="39"/>
  <c r="B15" i="39"/>
  <c r="B16" i="39"/>
  <c r="B17" i="39"/>
  <c r="B18" i="39"/>
  <c r="B19" i="39"/>
  <c r="B20" i="39"/>
  <c r="B21" i="39"/>
  <c r="B22" i="39"/>
  <c r="B23" i="39"/>
  <c r="B24" i="39"/>
  <c r="B25" i="39"/>
  <c r="B26" i="39"/>
  <c r="B27" i="39"/>
  <c r="B11" i="39"/>
  <c r="G26" i="23"/>
  <c r="F26" i="23"/>
  <c r="B28" i="39" l="1"/>
  <c r="D30" i="39" l="1"/>
  <c r="B15" i="38" l="1"/>
  <c r="D8" i="39"/>
  <c r="D10" i="40"/>
  <c r="E28" i="24"/>
  <c r="F28" i="24"/>
  <c r="G28" i="24"/>
  <c r="H28" i="24"/>
  <c r="I28" i="24"/>
  <c r="D28" i="24"/>
  <c r="D5" i="38" l="1"/>
  <c r="D5" i="39" l="1"/>
  <c r="D9" i="40"/>
  <c r="D13" i="40" l="1"/>
  <c r="D5" i="40"/>
  <c r="B30" i="39"/>
  <c r="C59" i="39"/>
  <c r="D59" i="39"/>
  <c r="B59" i="39"/>
  <c r="C30" i="39"/>
  <c r="B28" i="38" s="1"/>
  <c r="D6" i="39"/>
  <c r="D7" i="39" s="1"/>
  <c r="C12" i="39"/>
  <c r="D12" i="39"/>
  <c r="C13" i="39"/>
  <c r="D13" i="39"/>
  <c r="C14" i="39"/>
  <c r="D14" i="39"/>
  <c r="C15" i="39"/>
  <c r="D15" i="39"/>
  <c r="C16" i="39"/>
  <c r="D16" i="39"/>
  <c r="C17" i="39"/>
  <c r="D17" i="39"/>
  <c r="C18" i="39"/>
  <c r="D18" i="39"/>
  <c r="C19" i="39"/>
  <c r="D19" i="39"/>
  <c r="C20" i="39"/>
  <c r="D20" i="39"/>
  <c r="C21" i="39"/>
  <c r="D21" i="39"/>
  <c r="C22" i="39"/>
  <c r="D22" i="39"/>
  <c r="C23" i="39"/>
  <c r="D23" i="39"/>
  <c r="C24" i="39"/>
  <c r="D24" i="39"/>
  <c r="C25" i="39"/>
  <c r="D25" i="39"/>
  <c r="C26" i="39"/>
  <c r="D26" i="39"/>
  <c r="C27" i="39"/>
  <c r="D27" i="39"/>
  <c r="D11" i="39"/>
  <c r="C11" i="39"/>
  <c r="C4" i="39"/>
  <c r="C61" i="39" s="1"/>
  <c r="D33" i="40"/>
  <c r="D37" i="40" s="1"/>
  <c r="D39" i="40" s="1"/>
  <c r="D41" i="40"/>
  <c r="D4" i="40" s="1"/>
  <c r="D6" i="40"/>
  <c r="D7" i="40"/>
  <c r="D8" i="40"/>
  <c r="C6" i="39"/>
  <c r="C5" i="39"/>
  <c r="C60" i="39" s="1"/>
  <c r="B6" i="39"/>
  <c r="B5" i="39"/>
  <c r="B60" i="39" s="1"/>
  <c r="S14" i="24"/>
  <c r="S9" i="24"/>
  <c r="U14" i="24"/>
  <c r="U13" i="24"/>
  <c r="S13" i="24"/>
  <c r="U12" i="24"/>
  <c r="S12" i="24"/>
  <c r="U11" i="24"/>
  <c r="S11" i="24"/>
  <c r="U10" i="24"/>
  <c r="S10" i="24"/>
  <c r="U9" i="24"/>
  <c r="U14" i="23"/>
  <c r="U13" i="23"/>
  <c r="U12" i="23"/>
  <c r="U11" i="23"/>
  <c r="U10" i="23"/>
  <c r="U9" i="23"/>
  <c r="T12" i="23"/>
  <c r="S14" i="23"/>
  <c r="S13" i="23"/>
  <c r="S12" i="23"/>
  <c r="S11" i="23"/>
  <c r="S10" i="23"/>
  <c r="S9" i="23"/>
  <c r="D34" i="23"/>
  <c r="H34" i="23" s="1"/>
  <c r="D26" i="23"/>
  <c r="T9" i="23" s="1"/>
  <c r="I26" i="23"/>
  <c r="I30" i="23" s="1"/>
  <c r="I32" i="23" s="1"/>
  <c r="H26" i="23"/>
  <c r="H30" i="23" s="1"/>
  <c r="H32" i="23" s="1"/>
  <c r="T11" i="23"/>
  <c r="E26" i="23"/>
  <c r="E30" i="23" s="1"/>
  <c r="E32" i="23" s="1"/>
  <c r="E26" i="24"/>
  <c r="T10" i="24" s="1"/>
  <c r="F26" i="24"/>
  <c r="T11" i="24" s="1"/>
  <c r="G26" i="24"/>
  <c r="T12" i="24" s="1"/>
  <c r="H26" i="24"/>
  <c r="H30" i="24" s="1"/>
  <c r="H32" i="24" s="1"/>
  <c r="I26" i="24"/>
  <c r="T14" i="24" s="1"/>
  <c r="D26" i="24"/>
  <c r="D34" i="24"/>
  <c r="E34" i="24" s="1"/>
  <c r="F34" i="24" s="1"/>
  <c r="G34" i="24" s="1"/>
  <c r="H34" i="24" s="1"/>
  <c r="I34" i="24" s="1"/>
  <c r="D37" i="24"/>
  <c r="G37" i="24" s="1"/>
  <c r="D37" i="23"/>
  <c r="G37" i="23" s="1"/>
  <c r="B34" i="38"/>
  <c r="B21" i="38"/>
  <c r="B31" i="38"/>
  <c r="E19" i="38"/>
  <c r="E18" i="38" s="1"/>
  <c r="E17" i="38" s="1"/>
  <c r="B33" i="38"/>
  <c r="B20" i="38"/>
  <c r="D28" i="39" l="1"/>
  <c r="B35" i="38"/>
  <c r="E3" i="24" s="1"/>
  <c r="I6" i="24" s="1"/>
  <c r="Q19" i="38"/>
  <c r="Q20" i="38" s="1"/>
  <c r="Q21" i="38" s="1"/>
  <c r="E20" i="38"/>
  <c r="E21" i="38" s="1"/>
  <c r="T9" i="24"/>
  <c r="D30" i="24"/>
  <c r="D32" i="24" s="1"/>
  <c r="D36" i="24" s="1"/>
  <c r="F30" i="23"/>
  <c r="F32" i="23" s="1"/>
  <c r="J28" i="38"/>
  <c r="V28" i="38" s="1"/>
  <c r="U28" i="38" s="1"/>
  <c r="B61" i="39"/>
  <c r="D61" i="39"/>
  <c r="D43" i="40"/>
  <c r="F30" i="24"/>
  <c r="F32" i="24" s="1"/>
  <c r="F36" i="24" s="1"/>
  <c r="G30" i="24"/>
  <c r="G32" i="24" s="1"/>
  <c r="G36" i="24" s="1"/>
  <c r="H36" i="24"/>
  <c r="I37" i="24"/>
  <c r="C28" i="39"/>
  <c r="B27" i="38" s="1"/>
  <c r="E37" i="24"/>
  <c r="G34" i="23"/>
  <c r="T14" i="23"/>
  <c r="T13" i="24"/>
  <c r="I30" i="24"/>
  <c r="I32" i="24" s="1"/>
  <c r="I36" i="24" s="1"/>
  <c r="E30" i="24"/>
  <c r="E32" i="24" s="1"/>
  <c r="E36" i="24" s="1"/>
  <c r="T10" i="23"/>
  <c r="T13" i="23"/>
  <c r="D30" i="23"/>
  <c r="D32" i="23" s="1"/>
  <c r="D36" i="23" s="1"/>
  <c r="E34" i="23"/>
  <c r="E36" i="23" s="1"/>
  <c r="B22" i="38"/>
  <c r="E3" i="23" s="1"/>
  <c r="F6" i="23" s="1"/>
  <c r="H36" i="23"/>
  <c r="F37" i="24"/>
  <c r="H37" i="24"/>
  <c r="F37" i="23"/>
  <c r="B7" i="39"/>
  <c r="B8" i="39" s="1"/>
  <c r="E37" i="23"/>
  <c r="J15" i="38"/>
  <c r="J16" i="38" s="1"/>
  <c r="I37" i="23"/>
  <c r="D44" i="40"/>
  <c r="E32" i="38"/>
  <c r="I34" i="23"/>
  <c r="I36" i="23" s="1"/>
  <c r="H37" i="23"/>
  <c r="F34" i="23"/>
  <c r="C7" i="39"/>
  <c r="G30" i="23"/>
  <c r="G32" i="23" s="1"/>
  <c r="D32" i="39" l="1"/>
  <c r="D35" i="39" s="1"/>
  <c r="D71" i="39"/>
  <c r="D72" i="39" s="1"/>
  <c r="D86" i="39" s="1"/>
  <c r="C64" i="39"/>
  <c r="C65" i="39" s="1"/>
  <c r="C8" i="39"/>
  <c r="F6" i="24"/>
  <c r="F40" i="24" s="1"/>
  <c r="G6" i="24"/>
  <c r="G40" i="24" s="1"/>
  <c r="H6" i="24"/>
  <c r="H39" i="24" s="1"/>
  <c r="D6" i="24"/>
  <c r="D39" i="24" s="1"/>
  <c r="E6" i="24"/>
  <c r="E40" i="24" s="1"/>
  <c r="D34" i="39"/>
  <c r="Q18" i="38"/>
  <c r="Q17" i="38" s="1"/>
  <c r="G36" i="23"/>
  <c r="F36" i="23"/>
  <c r="K28" i="38"/>
  <c r="K29" i="38" s="1"/>
  <c r="J29" i="38"/>
  <c r="V29" i="38"/>
  <c r="V32" i="38" s="1"/>
  <c r="I28" i="38"/>
  <c r="H28" i="38" s="1"/>
  <c r="G28" i="38" s="1"/>
  <c r="F28" i="38" s="1"/>
  <c r="F29" i="38" s="1"/>
  <c r="W28" i="38"/>
  <c r="X28" i="38" s="1"/>
  <c r="B29" i="38"/>
  <c r="H40" i="24"/>
  <c r="I40" i="24"/>
  <c r="I39" i="24"/>
  <c r="D68" i="39"/>
  <c r="D69" i="39" s="1"/>
  <c r="D83" i="39" s="1"/>
  <c r="C32" i="39"/>
  <c r="C71" i="39" s="1"/>
  <c r="C68" i="39"/>
  <c r="F39" i="23"/>
  <c r="F40" i="23"/>
  <c r="E6" i="23"/>
  <c r="I6" i="23"/>
  <c r="G6" i="23"/>
  <c r="D6" i="23"/>
  <c r="H6" i="23"/>
  <c r="I29" i="38"/>
  <c r="V15" i="38"/>
  <c r="V16" i="38" s="1"/>
  <c r="I15" i="38"/>
  <c r="K15" i="38"/>
  <c r="B64" i="39"/>
  <c r="B65" i="39" s="1"/>
  <c r="E33" i="38"/>
  <c r="E34" i="38" s="1"/>
  <c r="E31" i="38"/>
  <c r="E30" i="38" s="1"/>
  <c r="Q32" i="38"/>
  <c r="D45" i="40"/>
  <c r="D60" i="39"/>
  <c r="T28" i="38"/>
  <c r="U29" i="38"/>
  <c r="I32" i="38" l="1"/>
  <c r="G29" i="38"/>
  <c r="G34" i="38" s="1"/>
  <c r="D40" i="24"/>
  <c r="G39" i="24"/>
  <c r="F39" i="24"/>
  <c r="E39" i="24"/>
  <c r="L28" i="38"/>
  <c r="M28" i="38" s="1"/>
  <c r="H29" i="38"/>
  <c r="H34" i="38" s="1"/>
  <c r="V30" i="38"/>
  <c r="J32" i="38"/>
  <c r="J34" i="38"/>
  <c r="W29" i="38"/>
  <c r="W30" i="38" s="1"/>
  <c r="U15" i="38"/>
  <c r="U16" i="38" s="1"/>
  <c r="W15" i="38"/>
  <c r="X15" i="38" s="1"/>
  <c r="I39" i="23"/>
  <c r="I40" i="23"/>
  <c r="H39" i="23"/>
  <c r="H40" i="23"/>
  <c r="G40" i="23"/>
  <c r="G39" i="23"/>
  <c r="C69" i="39"/>
  <c r="C83" i="39" s="1"/>
  <c r="C82" i="39"/>
  <c r="C72" i="39"/>
  <c r="C86" i="39" s="1"/>
  <c r="C85" i="39"/>
  <c r="D47" i="40"/>
  <c r="D48" i="40"/>
  <c r="I34" i="38"/>
  <c r="V33" i="38"/>
  <c r="J30" i="38"/>
  <c r="I30" i="38"/>
  <c r="J31" i="38"/>
  <c r="I33" i="38"/>
  <c r="E39" i="23"/>
  <c r="E40" i="23"/>
  <c r="D40" i="23"/>
  <c r="D39" i="23"/>
  <c r="K16" i="38"/>
  <c r="L15" i="38"/>
  <c r="I16" i="38"/>
  <c r="H15" i="38"/>
  <c r="C34" i="39"/>
  <c r="C75" i="39" s="1"/>
  <c r="C76" i="39" s="1"/>
  <c r="C35" i="39"/>
  <c r="C78" i="39" s="1"/>
  <c r="C79" i="39" s="1"/>
  <c r="I31" i="38"/>
  <c r="U33" i="38"/>
  <c r="U30" i="38"/>
  <c r="U31" i="38"/>
  <c r="U32" i="38"/>
  <c r="U34" i="38"/>
  <c r="S28" i="38"/>
  <c r="T29" i="38"/>
  <c r="V31" i="38"/>
  <c r="J33" i="38"/>
  <c r="Q33" i="38"/>
  <c r="Q34" i="38" s="1"/>
  <c r="Q31" i="38"/>
  <c r="Q30" i="38" s="1"/>
  <c r="X29" i="38"/>
  <c r="Y28" i="38"/>
  <c r="F30" i="38"/>
  <c r="F31" i="38"/>
  <c r="F34" i="38"/>
  <c r="F32" i="38"/>
  <c r="F33" i="38"/>
  <c r="K30" i="38"/>
  <c r="K34" i="38"/>
  <c r="K33" i="38"/>
  <c r="K31" i="38"/>
  <c r="K32" i="38"/>
  <c r="V34" i="38"/>
  <c r="G31" i="38" l="1"/>
  <c r="L29" i="38"/>
  <c r="L31" i="38" s="1"/>
  <c r="G33" i="38"/>
  <c r="G32" i="38"/>
  <c r="H30" i="38"/>
  <c r="H32" i="38"/>
  <c r="G30" i="38"/>
  <c r="W16" i="38"/>
  <c r="H31" i="38"/>
  <c r="W34" i="38"/>
  <c r="W32" i="38"/>
  <c r="W33" i="38"/>
  <c r="H33" i="38"/>
  <c r="W31" i="38"/>
  <c r="T15" i="38"/>
  <c r="S15" i="38" s="1"/>
  <c r="D64" i="39"/>
  <c r="D85" i="39" s="1"/>
  <c r="H16" i="38"/>
  <c r="G15" i="38"/>
  <c r="M15" i="38"/>
  <c r="L16" i="38"/>
  <c r="T32" i="38"/>
  <c r="T31" i="38"/>
  <c r="T30" i="38"/>
  <c r="T34" i="38"/>
  <c r="T33" i="38"/>
  <c r="X16" i="38"/>
  <c r="Y15" i="38"/>
  <c r="Y29" i="38"/>
  <c r="Z28" i="38"/>
  <c r="Z29" i="38" s="1"/>
  <c r="N28" i="38"/>
  <c r="N29" i="38" s="1"/>
  <c r="M29" i="38"/>
  <c r="X31" i="38"/>
  <c r="X34" i="38"/>
  <c r="X33" i="38"/>
  <c r="X32" i="38"/>
  <c r="X30" i="38"/>
  <c r="R28" i="38"/>
  <c r="R29" i="38" s="1"/>
  <c r="S29" i="38"/>
  <c r="T16" i="38" l="1"/>
  <c r="L30" i="38"/>
  <c r="L34" i="38"/>
  <c r="L32" i="38"/>
  <c r="L33" i="38"/>
  <c r="D82" i="39"/>
  <c r="D65" i="39"/>
  <c r="N15" i="38"/>
  <c r="N16" i="38" s="1"/>
  <c r="M16" i="38"/>
  <c r="F15" i="38"/>
  <c r="F16" i="38" s="1"/>
  <c r="G16" i="38"/>
  <c r="Z31" i="38"/>
  <c r="Z34" i="38"/>
  <c r="Z30" i="38"/>
  <c r="Z32" i="38"/>
  <c r="Z33" i="38"/>
  <c r="N33" i="38"/>
  <c r="N34" i="38"/>
  <c r="N30" i="38"/>
  <c r="N32" i="38"/>
  <c r="N31" i="38"/>
  <c r="Y33" i="38"/>
  <c r="Y32" i="38"/>
  <c r="Y31" i="38"/>
  <c r="Y30" i="38"/>
  <c r="Y34" i="38"/>
  <c r="S33" i="38"/>
  <c r="S30" i="38"/>
  <c r="S31" i="38"/>
  <c r="S32" i="38"/>
  <c r="S34" i="38"/>
  <c r="D75" i="39"/>
  <c r="D76" i="39" s="1"/>
  <c r="D78" i="39"/>
  <c r="D79" i="39" s="1"/>
  <c r="R31" i="38"/>
  <c r="R34" i="38"/>
  <c r="R32" i="38"/>
  <c r="R33" i="38"/>
  <c r="R30" i="38"/>
  <c r="S16" i="38"/>
  <c r="R15" i="38"/>
  <c r="R16" i="38" s="1"/>
  <c r="Y16" i="38"/>
  <c r="Z15" i="38"/>
  <c r="Z16" i="38" s="1"/>
  <c r="M32" i="38"/>
  <c r="M31" i="38"/>
  <c r="M33" i="38"/>
  <c r="M34" i="38"/>
  <c r="M30" i="38"/>
  <c r="B14" i="38" l="1"/>
  <c r="B32" i="39"/>
  <c r="B34" i="39"/>
  <c r="B75" i="39" s="1"/>
  <c r="B76" i="39" s="1"/>
  <c r="B68" i="39"/>
  <c r="B82" i="39" l="1"/>
  <c r="B69" i="39"/>
  <c r="B83" i="39" s="1"/>
  <c r="B35" i="39"/>
  <c r="B78" i="39" s="1"/>
  <c r="B79" i="39" s="1"/>
  <c r="B71" i="39"/>
  <c r="B16" i="38"/>
  <c r="X19" i="38"/>
  <c r="W18" i="38"/>
  <c r="U17" i="38"/>
  <c r="T18" i="38"/>
  <c r="U20" i="38"/>
  <c r="U19" i="38"/>
  <c r="T19" i="38"/>
  <c r="W19" i="38"/>
  <c r="V17" i="38"/>
  <c r="S17" i="38"/>
  <c r="Z20" i="38"/>
  <c r="U21" i="38"/>
  <c r="X21" i="38"/>
  <c r="Y20" i="38"/>
  <c r="W17" i="38"/>
  <c r="Z18" i="38"/>
  <c r="Y17" i="38"/>
  <c r="T17" i="38"/>
  <c r="T21" i="38"/>
  <c r="R19" i="38"/>
  <c r="S20" i="38"/>
  <c r="W21" i="38"/>
  <c r="Z17" i="38"/>
  <c r="T20" i="38"/>
  <c r="X18" i="38"/>
  <c r="V19" i="38"/>
  <c r="S19" i="38"/>
  <c r="R18" i="38"/>
  <c r="R21" i="38"/>
  <c r="V20" i="38"/>
  <c r="U18" i="38"/>
  <c r="W20" i="38"/>
  <c r="Y19" i="38"/>
  <c r="Z19" i="38"/>
  <c r="Z21" i="38"/>
  <c r="V21" i="38"/>
  <c r="S18" i="38"/>
  <c r="R17" i="38"/>
  <c r="R20" i="38"/>
  <c r="S21" i="38"/>
  <c r="Y21" i="38"/>
  <c r="Y18" i="38"/>
  <c r="X17" i="38"/>
  <c r="X20" i="38"/>
  <c r="V18" i="38"/>
  <c r="B85" i="39" l="1"/>
  <c r="B72" i="39"/>
  <c r="B86" i="39" s="1"/>
  <c r="J17" i="38"/>
  <c r="J19" i="38"/>
  <c r="H21" i="38"/>
  <c r="I19" i="38"/>
  <c r="L17" i="38"/>
  <c r="G18" i="38"/>
  <c r="N20" i="38"/>
  <c r="M21" i="38"/>
  <c r="K18" i="38"/>
  <c r="M20" i="38"/>
  <c r="J20" i="38"/>
  <c r="I18" i="38"/>
  <c r="I17" i="38"/>
  <c r="G17" i="38"/>
  <c r="F21" i="38"/>
  <c r="N19" i="38"/>
  <c r="I21" i="38"/>
  <c r="K17" i="38"/>
  <c r="N21" i="38"/>
  <c r="H18" i="38"/>
  <c r="M17" i="38"/>
  <c r="F17" i="38"/>
  <c r="N18" i="38"/>
  <c r="J18" i="38"/>
  <c r="M18" i="38"/>
  <c r="L19" i="38"/>
  <c r="J21" i="38"/>
  <c r="I20" i="38"/>
  <c r="G21" i="38"/>
  <c r="G20" i="38"/>
  <c r="F19" i="38"/>
  <c r="F20" i="38"/>
  <c r="F18" i="38"/>
  <c r="M19" i="38"/>
  <c r="H17" i="38"/>
  <c r="K19" i="38"/>
  <c r="H20" i="38"/>
  <c r="N17" i="38"/>
  <c r="L21" i="38"/>
  <c r="K21" i="38"/>
  <c r="L18" i="38"/>
  <c r="L20" i="38"/>
  <c r="G19" i="38"/>
  <c r="H19" i="38"/>
  <c r="K20"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Petru Fourie</author>
  </authors>
  <commentList>
    <comment ref="D3" authorId="0" shapeId="0" xr:uid="{00000000-0006-0000-0000-000001000000}">
      <text>
        <r>
          <rPr>
            <b/>
            <sz val="9"/>
            <color indexed="81"/>
            <rFont val="Tahoma"/>
            <family val="2"/>
          </rPr>
          <t>Petru Fourie:</t>
        </r>
        <r>
          <rPr>
            <sz val="9"/>
            <color indexed="81"/>
            <rFont val="Tahoma"/>
            <family val="2"/>
          </rPr>
          <t xml:space="preserve">
Include location diff, marketing cost etc</t>
        </r>
      </text>
    </comment>
  </commentList>
</comments>
</file>

<file path=xl/sharedStrings.xml><?xml version="1.0" encoding="utf-8"?>
<sst xmlns="http://schemas.openxmlformats.org/spreadsheetml/2006/main" count="234" uniqueCount="127">
  <si>
    <t>Rand/ton</t>
  </si>
  <si>
    <t>Gewas</t>
  </si>
  <si>
    <t>SAFEX pryse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</si>
  <si>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</si>
  <si>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</si>
  <si>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</si>
  <si>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</si>
  <si>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</si>
  <si>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</si>
  <si>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</si>
  <si>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</si>
  <si>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</si>
  <si>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</si>
  <si>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</si>
  <si>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</si>
  <si>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</si>
  <si>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</si>
  <si>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</si>
  <si>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r>
      <t>Disclaimer:</t>
    </r>
    <r>
      <rPr>
        <sz val="10"/>
        <rFont val="Calibri"/>
        <family val="2"/>
      </rPr>
      <t xml:space="preserve"> The information herein has been obtained from various sources, the accuracy and/or completeness of which Grain SA does not</t>
    </r>
  </si>
  <si>
    <t>Produsent prys raming vir BESPROEIING MIELIES vir die  /                                             Producer price framework for IRRIGATION MAIZE for the</t>
  </si>
  <si>
    <t>Produsent prys raming vir BESPROEIING SOJABONE (vermin bewerking) vir             Producer price framework for IRRIGATION SOYBEANS (minimum tillage) for</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</si>
  <si>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</si>
  <si>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</si>
  <si>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</si>
  <si>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</si>
  <si>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</si>
  <si>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</si>
  <si>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</si>
  <si>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</si>
  <si>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</si>
  <si>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</si>
  <si>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</si>
  <si>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</si>
  <si>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</si>
  <si>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</si>
  <si>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</si>
  <si>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</si>
  <si>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</si>
  <si>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</si>
  <si>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</si>
  <si>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</si>
  <si>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</si>
  <si>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</si>
  <si>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</si>
  <si>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</si>
  <si>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</si>
  <si>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</si>
  <si>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</si>
  <si>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</si>
  <si>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t>Noord Kaap / Northern Cape</t>
  </si>
  <si>
    <t>Total deductions (R/ton)</t>
  </si>
  <si>
    <t>Datum opgedateer / Date updated</t>
  </si>
  <si>
    <t>BT MIELIES /  MAIZE</t>
  </si>
  <si>
    <t>Mielies</t>
  </si>
  <si>
    <t>Opbrengspeil</t>
  </si>
  <si>
    <t>Lopende koste</t>
  </si>
  <si>
    <t>Oorhoofse koste</t>
  </si>
  <si>
    <t>Soja</t>
  </si>
  <si>
    <t xml:space="preserve">Crop </t>
  </si>
  <si>
    <t>Irr-Maize</t>
  </si>
  <si>
    <t>Irr-Soy</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</si>
  <si>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</si>
  <si>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</si>
  <si>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</si>
  <si>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</si>
  <si>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</si>
  <si>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</si>
  <si>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</si>
  <si>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</si>
  <si>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</si>
  <si>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</si>
  <si>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</si>
  <si>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</si>
  <si>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t xml:space="preserve">SUMMARY </t>
  </si>
  <si>
    <t>LGO (ton/ha)</t>
  </si>
  <si>
    <t>Net Farm Gate Price (R/ha)</t>
  </si>
  <si>
    <t>Net Farm Gate Price (R/ton)</t>
  </si>
  <si>
    <t xml:space="preserve">2) EXPENDITURES </t>
  </si>
  <si>
    <t>Total variable cost (R/ha)</t>
  </si>
  <si>
    <t>Total variable cost (R/ton)</t>
  </si>
  <si>
    <t>Total variable &amp; fixed expenditure (R/ha)</t>
  </si>
  <si>
    <t>Total variable &amp; fixed expenditure (R/ton)</t>
  </si>
  <si>
    <t>3) MARGIN</t>
  </si>
  <si>
    <t>Gross margin (R/ha)</t>
  </si>
  <si>
    <t>Gross margin (R/ton)</t>
  </si>
  <si>
    <t>Nett margin (R/ha)</t>
  </si>
  <si>
    <t>Net margin (R/ton)</t>
  </si>
  <si>
    <t>BREAK-EVEN &amp; PROFITABILITY (ONLY variable cost)</t>
  </si>
  <si>
    <t>Break-even yields (t/ha)</t>
  </si>
  <si>
    <t>Break-even Safex price (t/ha)</t>
  </si>
  <si>
    <t>BREAK-EVEN &amp; PROFITABILITY (variable &amp; fixed cost)</t>
  </si>
  <si>
    <t>Irr-Groundnuts</t>
  </si>
  <si>
    <t>Graadverdeling / Grade distribution</t>
  </si>
  <si>
    <t>Prys per graad / Price per grade (R/ton)</t>
  </si>
  <si>
    <t>%</t>
  </si>
  <si>
    <t>Diverse / Diverse</t>
  </si>
  <si>
    <t xml:space="preserve">Pers (eet) / Crusch </t>
  </si>
  <si>
    <t>Pers (olie)</t>
  </si>
  <si>
    <t>Hooi verkope / sales</t>
  </si>
  <si>
    <t>Gemiddelde prys vir al die grade / Average price for all grades</t>
  </si>
  <si>
    <t>Verwagte minimum prys SONDER wins/ Expected minimum price, WITHOUT profit</t>
  </si>
  <si>
    <t>Huidige prys / Current price (keur)</t>
  </si>
  <si>
    <t>Gemiddelde prys vir al die grade / Average price for all the grades</t>
  </si>
  <si>
    <t xml:space="preserve">                    Diverse</t>
  </si>
  <si>
    <t xml:space="preserve">                    Pers (eet) / Crush (eat)</t>
  </si>
  <si>
    <t xml:space="preserve">                    Pers (olie) / Crush (oil)</t>
  </si>
  <si>
    <r>
      <rPr>
        <b/>
        <sz val="11"/>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</si>
  <si>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Produsent prys raming vir besproeiing GRONDBONE vir die /                                                               Producer price framework for irrigation GROUNDNUTS for the</t>
  </si>
  <si>
    <t>MIELIES: SENSITIWITEITSANALISE - TOTALE KOSTES ( DIREKTE KOSTE + VASTE KOSTE) (R/ton)</t>
  </si>
  <si>
    <t>SOJABONE: SENSITIWITEITSANALISE - TOTALE KOSTES ( DIREKTE KOSTE + VASTE KOSTE) (R/ton)</t>
  </si>
  <si>
    <t>MIELIES: SENSITIWITEITSANALISE - DIREKTE KOSTE (R/ton)</t>
  </si>
  <si>
    <t>SOJABONE: SENSITIWITEITSANALISE - DIREKTE KOSTE (R/ton)</t>
  </si>
  <si>
    <t>SOJABONE VERMIN BEWERKING / SOYBEANS MIN TILLAGE</t>
  </si>
  <si>
    <t>Keur / Choice 1</t>
  </si>
  <si>
    <t>Keur / Choice 2</t>
  </si>
  <si>
    <t>Grondbone/ Groundnuts:  Keur/ Choice 1</t>
  </si>
  <si>
    <t xml:space="preserve">                    Keur/ Choice 2</t>
  </si>
  <si>
    <t>SAFEX Jul'23 WM 1 prys/price  (R/ton)</t>
  </si>
  <si>
    <t>SAFEX Mei'23Soy prys/price  (R/ton)</t>
  </si>
  <si>
    <t>BRUTO MARGE / GROSS MARGIN  (R/ha)</t>
  </si>
  <si>
    <t>NETTO MARGE / NETT MARGIN  (R/ha)</t>
  </si>
  <si>
    <t xml:space="preserve">                    Hooi verkope / sales</t>
  </si>
  <si>
    <r>
      <rPr>
        <b/>
        <sz val="11"/>
        <color indexed="30"/>
        <rFont val="Calibri"/>
        <family val="2"/>
      </rPr>
      <t xml:space="preserve">NORTHERN CAPE </t>
    </r>
    <r>
      <rPr>
        <b/>
        <sz val="11"/>
        <color indexed="8"/>
        <rFont val="Calibri"/>
        <family val="2"/>
      </rPr>
      <t xml:space="preserve">INCOME &amp; COST BUDGETS - SUMMER CROPS 2023/24 </t>
    </r>
  </si>
  <si>
    <t>Mielies / Maize- Jul 24</t>
  </si>
  <si>
    <t>Sojabone / Soybeans- Mei 24</t>
  </si>
  <si>
    <t>PRODUKSIEJAAR   2024-25                     PRODUCTION YEAR 2024-25</t>
  </si>
  <si>
    <t>2024/25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</si>
</sst>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quot;R&quot;\ * #,##0.00_ ;_ &quot;R&quot;\ * \-#,##0.00_ ;_ &quot;R&quot;\ * &quot;-&quot;??_ ;_ @_ "/>
    <numFmt numFmtId="165" formatCode="_ * #,##0.00_ ;_ * \-#,##0.00_ ;_ * &quot;-&quot;??_ ;_ @_ "/>
    <numFmt numFmtId="166" formatCode="_(&quot;$&quot;* #,##0.00_);_(&quot;$&quot;* \(#,##0.00\);_(&quot;$&quot;* &quot;-&quot;??_);_(@_)"/>
    <numFmt numFmtId="167" formatCode="_(* #,##0.00_);_(* \(#,##0.00\);_(* &quot;-&quot;??_);_(@_)"/>
    <numFmt numFmtId="168" formatCode="0.00_)"/>
    <numFmt numFmtId="169" formatCode="0_)"/>
    <numFmt numFmtId="170" formatCode="0.0"/>
    <numFmt numFmtId="171" formatCode="_ * #,##0_ ;_ * \-#,##0_ ;_ * &quot;-&quot;??_ ;_ @_ "/>
    <numFmt numFmtId="172" formatCode="&quot;R&quot;\ #,##0"/>
    <numFmt numFmtId="173" formatCode="&quot;R&quot;\ #,##0.00"/>
    <numFmt numFmtId="174" formatCode="_ [$R-1C09]\ * #,##0.00_ ;_ [$R-1C09]\ * \-#,##0.00_ ;_ [$R-1C09]\ * &quot;-&quot;??_ ;_ @_ "/>
    <numFmt numFmtId="175" formatCode="_ * #,##0.0_ ;_ * \-#,##0.0_ ;_ * &quot;-&quot;?_ ;_ @_ "/>
  </numFmts>
  <fonts count="39" x14ac:knownFonts="1">
    <font>
      <sz val="10"/>
      <name val="Arial"/>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Arial"/>
      <family val="2"/>
    </font>
    <font>
      <sz val="8"/>
      <name val="Arial"/>
      <family val="2"/>
    </font>
    <font>
      <sz val="10"/>
      <name val="Arial Black"/>
      <family val="2"/>
    </font>
    <font>
      <sz val="10"/>
      <name val="Segoe UI"/>
      <family val="2"/>
    </font>
    <font>
      <sz val="11"/>
      <color indexed="8"/>
      <name val="Calibri"/>
      <family val="2"/>
    </font>
    <font>
      <sz val="10"/>
      <name val="Arial"/>
      <family val="2"/>
    </font>
    <font>
      <b/>
      <sz val="11"/>
      <name val="Arial"/>
      <family val="2"/>
    </font>
    <font>
      <b/>
      <sz val="11"/>
      <name val="Calibri"/>
      <family val="2"/>
    </font>
    <font>
      <sz val="11"/>
      <name val="Calibri"/>
      <family val="2"/>
    </font>
    <font>
      <b/>
      <sz val="10"/>
      <name val="Calibri"/>
      <family val="2"/>
    </font>
    <font>
      <sz val="10"/>
      <name val="Calibri"/>
      <family val="2"/>
    </font>
    <font>
      <sz val="9"/>
      <color indexed="81"/>
      <name val="Tahoma"/>
      <family val="2"/>
    </font>
    <font>
      <b/>
      <sz val="9"/>
      <color indexed="81"/>
      <name val="Tahoma"/>
      <family val="2"/>
    </font>
    <font>
      <sz val="10"/>
      <name val="Arial"/>
      <family val="2"/>
    </font>
    <font>
      <u/>
      <sz val="7.5"/>
      <color indexed="12"/>
      <name val="Arial"/>
      <family val="2"/>
    </font>
    <font>
      <b/>
      <sz val="11"/>
      <color indexed="8"/>
      <name val="Calibri"/>
      <family val="2"/>
    </font>
    <font>
      <sz val="10"/>
      <name val="Arial"/>
      <family val="2"/>
    </font>
    <font>
      <sz val="11"/>
      <name val="Times New Roman"/>
      <family val="1"/>
    </font>
    <font>
      <b/>
      <sz val="11"/>
      <color indexed="30"/>
      <name val="Calibri"/>
      <family val="2"/>
    </font>
    <font>
      <sz val="11"/>
      <color theme="1"/>
      <name val="Calibri"/>
      <family val="2"/>
      <scheme val="minor"/>
    </font>
    <font>
      <sz val="10"/>
      <color theme="1"/>
      <name val="Arial"/>
      <family val="2"/>
    </font>
    <font>
      <b/>
      <sz val="11"/>
      <color theme="1"/>
      <name val="Calibri"/>
      <family val="2"/>
      <scheme val="minor"/>
    </font>
    <font>
      <sz val="11"/>
      <color rgb="FFFF0000"/>
      <name val="Calibri"/>
      <family val="2"/>
      <scheme val="minor"/>
    </font>
    <font>
      <b/>
      <sz val="10"/>
      <color rgb="FFFF0000"/>
      <name val="Arial"/>
      <family val="2"/>
    </font>
    <font>
      <b/>
      <sz val="10"/>
      <color theme="1"/>
      <name val="Arial"/>
      <family val="2"/>
    </font>
    <font>
      <b/>
      <sz val="11"/>
      <name val="Calibri"/>
      <family val="2"/>
      <scheme val="minor"/>
    </font>
    <font>
      <b/>
      <sz val="11"/>
      <color rgb="FFFF0000"/>
      <name val="Calibri"/>
      <family val="2"/>
      <scheme val="minor"/>
    </font>
    <font>
      <sz val="10"/>
      <color rgb="FFFF0000"/>
      <name val="Arial"/>
      <family val="2"/>
    </font>
    <font>
      <b/>
      <sz val="11"/>
      <color theme="1"/>
      <name val="Calibri"/>
      <family val="2"/>
    </font>
    <font>
      <sz val="11"/>
      <name val="Calibri"/>
      <family val="2"/>
      <scheme val="minor"/>
    </font>
    <font>
      <b/>
      <sz val="18"/>
      <color rgb="FF00B050"/>
      <name val="Arial"/>
      <family val="2"/>
    </font>
  </fonts>
  <fills count="10">
    <fill>
      <patternFill patternType="none"/>
    </fill>
    <fill>
      <patternFill patternType="gray125"/>
    </fill>
    <fill>
      <patternFill patternType="solid">
        <fgColor indexed="9"/>
        <bgColor indexed="64"/>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
      <patternFill patternType="solid">
        <fgColor rgb="FFAD9244"/>
        <bgColor indexed="64"/>
      </patternFill>
    </fill>
    <fill>
      <patternFill patternType="solid">
        <fgColor rgb="FF3A6367"/>
        <bgColor indexed="64"/>
      </patternFill>
    </fill>
  </fills>
  <borders count="48">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05">
    <xf numFmtId="0" fontId="0" fillId="0" borderId="0"/>
    <xf numFmtId="165"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7" fillId="0" borderId="0" applyFont="0" applyFill="0" applyBorder="0" applyAlignment="0" applyProtection="0"/>
    <xf numFmtId="165" fontId="12"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166" fontId="3" fillId="0" borderId="0" applyFont="0" applyFill="0" applyBorder="0" applyAlignment="0" applyProtection="0"/>
    <xf numFmtId="164" fontId="27"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9" fillId="0" borderId="0"/>
    <xf numFmtId="0" fontId="9" fillId="0" borderId="0"/>
    <xf numFmtId="0" fontId="3" fillId="0" borderId="0"/>
    <xf numFmtId="0" fontId="3" fillId="0" borderId="0"/>
    <xf numFmtId="0" fontId="11" fillId="0" borderId="0"/>
    <xf numFmtId="0" fontId="9" fillId="0" borderId="0"/>
    <xf numFmtId="0" fontId="28" fillId="0" borderId="0"/>
    <xf numFmtId="0" fontId="28" fillId="0" borderId="0"/>
    <xf numFmtId="0" fontId="3" fillId="0" borderId="0"/>
    <xf numFmtId="0" fontId="28" fillId="0" borderId="0"/>
    <xf numFmtId="0" fontId="28" fillId="0" borderId="0"/>
    <xf numFmtId="0" fontId="25" fillId="0" borderId="0"/>
    <xf numFmtId="0" fontId="3" fillId="0" borderId="0"/>
    <xf numFmtId="0" fontId="27" fillId="0" borderId="0"/>
    <xf numFmtId="0" fontId="28" fillId="0" borderId="0"/>
    <xf numFmtId="0" fontId="3" fillId="0" borderId="0"/>
    <xf numFmtId="0" fontId="3" fillId="0" borderId="0"/>
    <xf numFmtId="0" fontId="28" fillId="0" borderId="0"/>
    <xf numFmtId="0" fontId="28" fillId="0" borderId="0"/>
    <xf numFmtId="0" fontId="3" fillId="0" borderId="0"/>
    <xf numFmtId="0" fontId="28" fillId="0" borderId="0"/>
    <xf numFmtId="0" fontId="28" fillId="0" borderId="0"/>
    <xf numFmtId="0" fontId="27" fillId="0" borderId="0"/>
    <xf numFmtId="0" fontId="9" fillId="0" borderId="0"/>
    <xf numFmtId="0" fontId="9" fillId="0" borderId="0"/>
    <xf numFmtId="0" fontId="27" fillId="0" borderId="0"/>
    <xf numFmtId="0" fontId="3" fillId="0" borderId="0"/>
    <xf numFmtId="0" fontId="9" fillId="0" borderId="0"/>
    <xf numFmtId="0" fontId="9" fillId="0" borderId="0"/>
    <xf numFmtId="0" fontId="11" fillId="0" borderId="0"/>
    <xf numFmtId="0" fontId="9"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9" fontId="2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2" fillId="0" borderId="0" applyFont="0" applyFill="0" applyBorder="0" applyAlignment="0" applyProtection="0"/>
    <xf numFmtId="9" fontId="27"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284">
    <xf numFmtId="0" fontId="0" fillId="0" borderId="0" xfId="0"/>
    <xf numFmtId="0" fontId="3" fillId="0" borderId="0" xfId="0" applyFont="1" applyProtection="1">
      <protection hidden="1"/>
    </xf>
    <xf numFmtId="0" fontId="3" fillId="0" borderId="2" xfId="0" applyFont="1" applyBorder="1" applyProtection="1">
      <protection hidden="1"/>
    </xf>
    <xf numFmtId="0" fontId="2" fillId="0" borderId="1" xfId="0" applyFont="1" applyBorder="1" applyAlignment="1" applyProtection="1">
      <alignment horizontal="centerContinuous"/>
      <protection hidden="1"/>
    </xf>
    <xf numFmtId="0" fontId="2" fillId="0" borderId="1" xfId="0" applyFont="1" applyBorder="1" applyAlignment="1" applyProtection="1">
      <alignment horizontal="left"/>
      <protection hidden="1"/>
    </xf>
    <xf numFmtId="0" fontId="3" fillId="0" borderId="1" xfId="0" applyFont="1" applyBorder="1" applyAlignment="1" applyProtection="1">
      <alignment horizontal="centerContinuous"/>
      <protection hidden="1"/>
    </xf>
    <xf numFmtId="0" fontId="3" fillId="0" borderId="5" xfId="0" applyFont="1" applyBorder="1" applyProtection="1">
      <protection hidden="1"/>
    </xf>
    <xf numFmtId="167" fontId="3" fillId="0" borderId="0" xfId="0" applyNumberFormat="1" applyFont="1" applyProtection="1">
      <protection hidden="1"/>
    </xf>
    <xf numFmtId="0" fontId="6" fillId="0" borderId="6" xfId="0" applyFont="1" applyBorder="1" applyAlignment="1" applyProtection="1">
      <alignment horizontal="left"/>
      <protection hidden="1"/>
    </xf>
    <xf numFmtId="0" fontId="6" fillId="0" borderId="5" xfId="0" applyFont="1" applyBorder="1" applyAlignment="1" applyProtection="1">
      <alignment horizontal="left"/>
      <protection hidden="1"/>
    </xf>
    <xf numFmtId="0" fontId="7" fillId="0" borderId="5" xfId="0" applyFont="1" applyBorder="1" applyProtection="1">
      <protection hidden="1"/>
    </xf>
    <xf numFmtId="0" fontId="4" fillId="0" borderId="1" xfId="0" applyFont="1" applyBorder="1" applyProtection="1">
      <protection hidden="1"/>
    </xf>
    <xf numFmtId="0" fontId="3" fillId="0" borderId="3" xfId="0" applyFont="1" applyBorder="1" applyProtection="1">
      <protection hidden="1"/>
    </xf>
    <xf numFmtId="0" fontId="2" fillId="2" borderId="4" xfId="0" applyFont="1" applyFill="1" applyBorder="1" applyProtection="1">
      <protection hidden="1"/>
    </xf>
    <xf numFmtId="169" fontId="2" fillId="2" borderId="4" xfId="0" applyNumberFormat="1" applyFont="1" applyFill="1" applyBorder="1" applyAlignment="1" applyProtection="1">
      <alignment horizontal="right"/>
      <protection hidden="1"/>
    </xf>
    <xf numFmtId="165" fontId="2" fillId="2" borderId="7" xfId="0" applyNumberFormat="1" applyFont="1" applyFill="1" applyBorder="1" applyProtection="1">
      <protection hidden="1"/>
    </xf>
    <xf numFmtId="165" fontId="2" fillId="0" borderId="7" xfId="0" applyNumberFormat="1" applyFont="1" applyBorder="1" applyProtection="1">
      <protection hidden="1"/>
    </xf>
    <xf numFmtId="0" fontId="3" fillId="0" borderId="3" xfId="0" applyFont="1" applyBorder="1" applyAlignment="1" applyProtection="1">
      <alignment wrapText="1"/>
      <protection hidden="1"/>
    </xf>
    <xf numFmtId="1" fontId="2" fillId="2" borderId="10" xfId="0" applyNumberFormat="1" applyFont="1" applyFill="1" applyBorder="1" applyProtection="1">
      <protection hidden="1"/>
    </xf>
    <xf numFmtId="0" fontId="3" fillId="0" borderId="1" xfId="0" applyFont="1" applyBorder="1" applyAlignment="1" applyProtection="1">
      <alignment wrapText="1"/>
      <protection hidden="1"/>
    </xf>
    <xf numFmtId="0" fontId="4" fillId="0" borderId="1" xfId="0" applyFont="1" applyBorder="1" applyAlignment="1" applyProtection="1">
      <alignment wrapText="1"/>
      <protection hidden="1"/>
    </xf>
    <xf numFmtId="0" fontId="3" fillId="0" borderId="1" xfId="0" applyFont="1" applyBorder="1" applyAlignment="1" applyProtection="1">
      <alignment horizontal="center" wrapText="1"/>
      <protection hidden="1"/>
    </xf>
    <xf numFmtId="0" fontId="2" fillId="0" borderId="1" xfId="0" applyFont="1" applyBorder="1" applyAlignment="1" applyProtection="1">
      <alignment horizontal="center" wrapText="1"/>
      <protection hidden="1"/>
    </xf>
    <xf numFmtId="0" fontId="2" fillId="0" borderId="1" xfId="0" applyFont="1" applyBorder="1" applyAlignment="1" applyProtection="1">
      <alignment horizontal="left" wrapText="1"/>
      <protection hidden="1"/>
    </xf>
    <xf numFmtId="0" fontId="3" fillId="0" borderId="0" xfId="57"/>
    <xf numFmtId="0" fontId="6" fillId="0" borderId="0" xfId="57" applyFont="1"/>
    <xf numFmtId="0" fontId="3" fillId="0" borderId="0" xfId="25"/>
    <xf numFmtId="0" fontId="3" fillId="0" borderId="11" xfId="57" applyBorder="1" applyAlignment="1">
      <alignment horizontal="center" vertical="center" wrapText="1"/>
    </xf>
    <xf numFmtId="0" fontId="3" fillId="0" borderId="1" xfId="57" applyBorder="1" applyAlignment="1">
      <alignment horizontal="center" vertical="center" wrapText="1"/>
    </xf>
    <xf numFmtId="0" fontId="31" fillId="2" borderId="4" xfId="57" applyFont="1" applyFill="1" applyBorder="1" applyAlignment="1">
      <alignment horizontal="center" vertical="center"/>
    </xf>
    <xf numFmtId="0" fontId="32" fillId="2" borderId="4" xfId="57" applyFont="1" applyFill="1" applyBorder="1" applyAlignment="1">
      <alignment horizontal="center" vertical="center"/>
    </xf>
    <xf numFmtId="0" fontId="31" fillId="2" borderId="1" xfId="57" applyFont="1" applyFill="1" applyBorder="1" applyAlignment="1">
      <alignment horizontal="center" vertical="center"/>
    </xf>
    <xf numFmtId="0" fontId="2" fillId="2" borderId="4" xfId="57" applyFont="1" applyFill="1" applyBorder="1" applyAlignment="1">
      <alignment horizontal="center" vertical="center"/>
    </xf>
    <xf numFmtId="172" fontId="31" fillId="2" borderId="4" xfId="57" applyNumberFormat="1" applyFont="1" applyFill="1" applyBorder="1" applyAlignment="1">
      <alignment horizontal="center" vertical="center"/>
    </xf>
    <xf numFmtId="0" fontId="2" fillId="0" borderId="12" xfId="57" applyFont="1" applyBorder="1" applyAlignment="1">
      <alignment horizontal="center" vertical="center"/>
    </xf>
    <xf numFmtId="172" fontId="31" fillId="0" borderId="12" xfId="57" applyNumberFormat="1" applyFont="1" applyBorder="1" applyAlignment="1">
      <alignment horizontal="center" vertical="center"/>
    </xf>
    <xf numFmtId="0" fontId="31" fillId="0" borderId="12" xfId="57" applyFont="1" applyBorder="1" applyAlignment="1">
      <alignment horizontal="center" vertical="center"/>
    </xf>
    <xf numFmtId="170" fontId="2" fillId="0" borderId="11" xfId="57" applyNumberFormat="1" applyFont="1" applyBorder="1" applyAlignment="1">
      <alignment horizontal="center" vertical="center"/>
    </xf>
    <xf numFmtId="1" fontId="2" fillId="3" borderId="13" xfId="57" applyNumberFormat="1" applyFont="1" applyFill="1" applyBorder="1" applyAlignment="1">
      <alignment horizontal="center" vertical="center"/>
    </xf>
    <xf numFmtId="1" fontId="2" fillId="3" borderId="14" xfId="57" applyNumberFormat="1" applyFont="1" applyFill="1" applyBorder="1" applyAlignment="1">
      <alignment horizontal="center" vertical="center"/>
    </xf>
    <xf numFmtId="1" fontId="2" fillId="4" borderId="14" xfId="57" applyNumberFormat="1" applyFont="1" applyFill="1" applyBorder="1" applyAlignment="1">
      <alignment horizontal="center" vertical="center"/>
    </xf>
    <xf numFmtId="1" fontId="2" fillId="4" borderId="15" xfId="57" applyNumberFormat="1" applyFont="1" applyFill="1" applyBorder="1" applyAlignment="1">
      <alignment horizontal="center" vertical="center"/>
    </xf>
    <xf numFmtId="1" fontId="2" fillId="3" borderId="16" xfId="57" applyNumberFormat="1" applyFont="1" applyFill="1" applyBorder="1" applyAlignment="1">
      <alignment horizontal="center" vertical="center"/>
    </xf>
    <xf numFmtId="1" fontId="2" fillId="3" borderId="17" xfId="57" applyNumberFormat="1" applyFont="1" applyFill="1" applyBorder="1" applyAlignment="1">
      <alignment horizontal="center" vertical="center"/>
    </xf>
    <xf numFmtId="1" fontId="2" fillId="4" borderId="17" xfId="57" applyNumberFormat="1" applyFont="1" applyFill="1" applyBorder="1" applyAlignment="1">
      <alignment horizontal="center" vertical="center"/>
    </xf>
    <xf numFmtId="1" fontId="2" fillId="4" borderId="18" xfId="57" applyNumberFormat="1" applyFont="1" applyFill="1" applyBorder="1" applyAlignment="1">
      <alignment horizontal="center" vertical="center"/>
    </xf>
    <xf numFmtId="170" fontId="31" fillId="0" borderId="11" xfId="57" applyNumberFormat="1" applyFont="1" applyBorder="1" applyAlignment="1">
      <alignment horizontal="center" vertical="center"/>
    </xf>
    <xf numFmtId="1" fontId="2" fillId="3" borderId="19" xfId="57" applyNumberFormat="1" applyFont="1" applyFill="1" applyBorder="1" applyAlignment="1">
      <alignment horizontal="center" vertical="center"/>
    </xf>
    <xf numFmtId="1" fontId="2" fillId="3" borderId="20" xfId="57" applyNumberFormat="1" applyFont="1" applyFill="1" applyBorder="1" applyAlignment="1">
      <alignment horizontal="center" vertical="center"/>
    </xf>
    <xf numFmtId="1" fontId="2" fillId="4" borderId="20" xfId="57" applyNumberFormat="1" applyFont="1" applyFill="1" applyBorder="1" applyAlignment="1">
      <alignment horizontal="center" vertical="center"/>
    </xf>
    <xf numFmtId="1" fontId="2" fillId="4" borderId="21" xfId="57" applyNumberFormat="1" applyFont="1" applyFill="1" applyBorder="1" applyAlignment="1">
      <alignment horizontal="center" vertical="center"/>
    </xf>
    <xf numFmtId="0" fontId="10" fillId="0" borderId="0" xfId="57" applyFont="1" applyAlignment="1">
      <alignment horizontal="center" vertical="center" textRotation="90" wrapText="1"/>
    </xf>
    <xf numFmtId="170" fontId="10" fillId="0" borderId="0" xfId="57" applyNumberFormat="1" applyFont="1" applyAlignment="1">
      <alignment horizontal="center" vertical="center"/>
    </xf>
    <xf numFmtId="1" fontId="10" fillId="0" borderId="0" xfId="57" applyNumberFormat="1" applyFont="1" applyAlignment="1">
      <alignment horizontal="center" vertical="center"/>
    </xf>
    <xf numFmtId="171" fontId="2" fillId="0" borderId="12" xfId="57" applyNumberFormat="1" applyFont="1" applyBorder="1" applyAlignment="1">
      <alignment horizontal="center" vertical="center"/>
    </xf>
    <xf numFmtId="0" fontId="18" fillId="2" borderId="6" xfId="25" applyFont="1" applyFill="1" applyBorder="1" applyAlignment="1">
      <alignment vertical="center"/>
    </xf>
    <xf numFmtId="0" fontId="18" fillId="2" borderId="22" xfId="25" applyFont="1" applyFill="1" applyBorder="1" applyAlignment="1">
      <alignment vertical="center"/>
    </xf>
    <xf numFmtId="0" fontId="17" fillId="2" borderId="23" xfId="25" applyFont="1" applyFill="1" applyBorder="1" applyAlignment="1">
      <alignment vertical="center"/>
    </xf>
    <xf numFmtId="0" fontId="15" fillId="2" borderId="23" xfId="25" applyFont="1" applyFill="1" applyBorder="1" applyAlignment="1">
      <alignment vertical="center"/>
    </xf>
    <xf numFmtId="0" fontId="3" fillId="2" borderId="8" xfId="25" applyFill="1" applyBorder="1" applyProtection="1">
      <protection hidden="1"/>
    </xf>
    <xf numFmtId="0" fontId="3" fillId="2" borderId="9" xfId="25" applyFill="1" applyBorder="1" applyProtection="1">
      <protection hidden="1"/>
    </xf>
    <xf numFmtId="0" fontId="16" fillId="2" borderId="22" xfId="25" applyFont="1" applyFill="1" applyBorder="1" applyAlignment="1">
      <alignment vertical="center"/>
    </xf>
    <xf numFmtId="0" fontId="3" fillId="2" borderId="0" xfId="25" applyFill="1" applyProtection="1">
      <protection hidden="1"/>
    </xf>
    <xf numFmtId="0" fontId="3" fillId="2" borderId="24" xfId="25" applyFill="1" applyBorder="1" applyProtection="1">
      <protection hidden="1"/>
    </xf>
    <xf numFmtId="0" fontId="16" fillId="2" borderId="6" xfId="25" applyFont="1" applyFill="1" applyBorder="1" applyAlignment="1">
      <alignment vertical="center"/>
    </xf>
    <xf numFmtId="0" fontId="3" fillId="2" borderId="5" xfId="25" applyFill="1" applyBorder="1" applyProtection="1">
      <protection hidden="1"/>
    </xf>
    <xf numFmtId="0" fontId="3" fillId="2" borderId="2" xfId="25" applyFill="1" applyBorder="1" applyProtection="1">
      <protection hidden="1"/>
    </xf>
    <xf numFmtId="0" fontId="2" fillId="0" borderId="11" xfId="25" applyFont="1" applyBorder="1" applyAlignment="1" applyProtection="1">
      <alignment horizontal="left"/>
      <protection hidden="1"/>
    </xf>
    <xf numFmtId="0" fontId="2" fillId="0" borderId="1" xfId="25" applyFont="1" applyBorder="1" applyAlignment="1" applyProtection="1">
      <alignment horizontal="left"/>
      <protection hidden="1"/>
    </xf>
    <xf numFmtId="0" fontId="2" fillId="0" borderId="25" xfId="25" applyFont="1" applyBorder="1" applyAlignment="1" applyProtection="1">
      <alignment horizontal="left"/>
      <protection hidden="1"/>
    </xf>
    <xf numFmtId="0" fontId="2" fillId="0" borderId="22" xfId="25" applyFont="1" applyBorder="1" applyAlignment="1" applyProtection="1">
      <alignment horizontal="left"/>
      <protection hidden="1"/>
    </xf>
    <xf numFmtId="0" fontId="2" fillId="0" borderId="0" xfId="25" applyFont="1" applyAlignment="1" applyProtection="1">
      <alignment horizontal="left"/>
      <protection hidden="1"/>
    </xf>
    <xf numFmtId="0" fontId="2" fillId="0" borderId="26" xfId="25" applyFont="1" applyBorder="1" applyAlignment="1" applyProtection="1">
      <alignment horizontal="left"/>
      <protection hidden="1"/>
    </xf>
    <xf numFmtId="0" fontId="2" fillId="0" borderId="27" xfId="25" applyFont="1" applyBorder="1" applyAlignment="1" applyProtection="1">
      <alignment horizontal="left"/>
      <protection hidden="1"/>
    </xf>
    <xf numFmtId="0" fontId="2" fillId="0" borderId="28" xfId="25" applyFont="1" applyBorder="1" applyAlignment="1" applyProtection="1">
      <alignment horizontal="left"/>
      <protection hidden="1"/>
    </xf>
    <xf numFmtId="0" fontId="2" fillId="2" borderId="22" xfId="25" applyFont="1" applyFill="1" applyBorder="1" applyAlignment="1" applyProtection="1">
      <alignment horizontal="left"/>
      <protection hidden="1"/>
    </xf>
    <xf numFmtId="0" fontId="2" fillId="2" borderId="0" xfId="25" applyFont="1" applyFill="1" applyAlignment="1" applyProtection="1">
      <alignment horizontal="left"/>
      <protection hidden="1"/>
    </xf>
    <xf numFmtId="0" fontId="30" fillId="0" borderId="0" xfId="39" applyFont="1"/>
    <xf numFmtId="165" fontId="30" fillId="0" borderId="0" xfId="39" applyNumberFormat="1" applyFont="1"/>
    <xf numFmtId="0" fontId="6" fillId="0" borderId="6" xfId="25" applyFont="1" applyBorder="1" applyAlignment="1" applyProtection="1">
      <alignment horizontal="left"/>
      <protection hidden="1"/>
    </xf>
    <xf numFmtId="0" fontId="4" fillId="0" borderId="1" xfId="25" applyFont="1" applyBorder="1" applyProtection="1">
      <protection hidden="1"/>
    </xf>
    <xf numFmtId="0" fontId="2" fillId="0" borderId="1" xfId="25" applyFont="1" applyBorder="1" applyAlignment="1" applyProtection="1">
      <alignment horizontal="centerContinuous"/>
      <protection hidden="1"/>
    </xf>
    <xf numFmtId="165" fontId="34" fillId="5" borderId="0" xfId="16" applyFont="1" applyFill="1" applyBorder="1" applyAlignment="1">
      <alignment horizontal="center" vertical="center" wrapText="1"/>
    </xf>
    <xf numFmtId="0" fontId="35" fillId="5" borderId="0" xfId="0" applyFont="1" applyFill="1"/>
    <xf numFmtId="0" fontId="33" fillId="6" borderId="5" xfId="0" applyFont="1" applyFill="1" applyBorder="1" applyAlignment="1">
      <alignment horizontal="center" wrapText="1"/>
    </xf>
    <xf numFmtId="0" fontId="33" fillId="6" borderId="29" xfId="0" applyFont="1" applyFill="1" applyBorder="1"/>
    <xf numFmtId="0" fontId="35" fillId="6" borderId="0" xfId="0" applyFont="1" applyFill="1" applyAlignment="1">
      <alignment vertical="center" wrapText="1"/>
    </xf>
    <xf numFmtId="0" fontId="35" fillId="5" borderId="30" xfId="0" applyFont="1" applyFill="1" applyBorder="1"/>
    <xf numFmtId="165" fontId="3" fillId="6" borderId="0" xfId="0" applyNumberFormat="1" applyFont="1" applyFill="1"/>
    <xf numFmtId="0" fontId="3" fillId="0" borderId="0" xfId="25" applyProtection="1">
      <protection hidden="1"/>
    </xf>
    <xf numFmtId="0" fontId="3" fillId="0" borderId="5" xfId="25" applyBorder="1" applyProtection="1">
      <protection hidden="1"/>
    </xf>
    <xf numFmtId="0" fontId="6" fillId="0" borderId="5" xfId="25" applyFont="1" applyBorder="1" applyAlignment="1" applyProtection="1">
      <alignment horizontal="left"/>
      <protection hidden="1"/>
    </xf>
    <xf numFmtId="172" fontId="33" fillId="5" borderId="31" xfId="0" applyNumberFormat="1" applyFont="1" applyFill="1" applyBorder="1"/>
    <xf numFmtId="0" fontId="3" fillId="6" borderId="29" xfId="0" applyFont="1" applyFill="1" applyBorder="1"/>
    <xf numFmtId="0" fontId="3" fillId="0" borderId="2" xfId="25" applyBorder="1" applyProtection="1">
      <protection hidden="1"/>
    </xf>
    <xf numFmtId="0" fontId="36" fillId="5" borderId="32" xfId="0" applyFont="1" applyFill="1" applyBorder="1"/>
    <xf numFmtId="174" fontId="37" fillId="5" borderId="0" xfId="16" applyNumberFormat="1" applyFont="1" applyFill="1" applyBorder="1" applyAlignment="1">
      <alignment wrapText="1"/>
    </xf>
    <xf numFmtId="172" fontId="37" fillId="5" borderId="0" xfId="0" applyNumberFormat="1" applyFont="1" applyFill="1"/>
    <xf numFmtId="172" fontId="37" fillId="5" borderId="34" xfId="0" applyNumberFormat="1" applyFont="1" applyFill="1" applyBorder="1"/>
    <xf numFmtId="0" fontId="35" fillId="0" borderId="0" xfId="0" applyFont="1" applyProtection="1">
      <protection hidden="1"/>
    </xf>
    <xf numFmtId="167" fontId="31" fillId="0" borderId="0" xfId="0" applyNumberFormat="1" applyFont="1" applyProtection="1">
      <protection hidden="1"/>
    </xf>
    <xf numFmtId="0" fontId="29" fillId="5" borderId="29" xfId="0" applyFont="1" applyFill="1" applyBorder="1"/>
    <xf numFmtId="0" fontId="0" fillId="5" borderId="30" xfId="0" applyFill="1" applyBorder="1"/>
    <xf numFmtId="165" fontId="37" fillId="5" borderId="29" xfId="16" applyFont="1" applyFill="1" applyBorder="1" applyAlignment="1"/>
    <xf numFmtId="165" fontId="33" fillId="5" borderId="29" xfId="16" applyFont="1" applyFill="1" applyBorder="1" applyAlignment="1"/>
    <xf numFmtId="165" fontId="37" fillId="5" borderId="0" xfId="16" applyFont="1" applyFill="1" applyBorder="1" applyAlignment="1">
      <alignment horizontal="center" vertical="center" wrapText="1"/>
    </xf>
    <xf numFmtId="172" fontId="33" fillId="5" borderId="0" xfId="16" applyNumberFormat="1" applyFont="1" applyFill="1" applyBorder="1" applyAlignment="1">
      <alignment horizontal="center" vertical="center" wrapText="1"/>
    </xf>
    <xf numFmtId="165" fontId="33" fillId="5" borderId="0" xfId="16" applyFont="1" applyFill="1" applyBorder="1" applyAlignment="1">
      <alignment horizontal="center" vertical="center" wrapText="1"/>
    </xf>
    <xf numFmtId="174" fontId="37" fillId="5" borderId="0" xfId="16" applyNumberFormat="1" applyFont="1" applyFill="1" applyBorder="1" applyAlignment="1"/>
    <xf numFmtId="2" fontId="3" fillId="6" borderId="35" xfId="0" applyNumberFormat="1" applyFont="1" applyFill="1" applyBorder="1"/>
    <xf numFmtId="0" fontId="7" fillId="0" borderId="5" xfId="25" applyFont="1" applyBorder="1" applyProtection="1">
      <protection hidden="1"/>
    </xf>
    <xf numFmtId="174" fontId="3" fillId="6" borderId="0" xfId="0" applyNumberFormat="1" applyFont="1" applyFill="1"/>
    <xf numFmtId="2" fontId="3" fillId="6" borderId="34" xfId="0" applyNumberFormat="1" applyFont="1" applyFill="1" applyBorder="1"/>
    <xf numFmtId="165" fontId="2" fillId="0" borderId="36" xfId="66" applyNumberFormat="1" applyFont="1" applyBorder="1" applyProtection="1">
      <protection hidden="1"/>
    </xf>
    <xf numFmtId="165" fontId="2" fillId="0" borderId="37" xfId="66" applyNumberFormat="1" applyFont="1" applyBorder="1" applyProtection="1">
      <protection hidden="1"/>
    </xf>
    <xf numFmtId="165" fontId="2" fillId="0" borderId="36" xfId="65" applyNumberFormat="1" applyFont="1" applyBorder="1" applyProtection="1">
      <protection hidden="1"/>
    </xf>
    <xf numFmtId="165" fontId="2" fillId="0" borderId="37" xfId="65" applyNumberFormat="1" applyFont="1" applyBorder="1" applyProtection="1">
      <protection hidden="1"/>
    </xf>
    <xf numFmtId="0" fontId="3" fillId="0" borderId="3" xfId="25" applyBorder="1" applyProtection="1">
      <protection hidden="1"/>
    </xf>
    <xf numFmtId="169" fontId="2" fillId="2" borderId="4" xfId="25" applyNumberFormat="1" applyFont="1" applyFill="1" applyBorder="1" applyAlignment="1" applyProtection="1">
      <alignment horizontal="right"/>
      <protection hidden="1"/>
    </xf>
    <xf numFmtId="165" fontId="2" fillId="0" borderId="36" xfId="25" applyNumberFormat="1" applyFont="1" applyBorder="1" applyProtection="1">
      <protection hidden="1"/>
    </xf>
    <xf numFmtId="165" fontId="2" fillId="0" borderId="37" xfId="25" applyNumberFormat="1" applyFont="1" applyBorder="1" applyProtection="1">
      <protection hidden="1"/>
    </xf>
    <xf numFmtId="165" fontId="2" fillId="2" borderId="7" xfId="25" applyNumberFormat="1" applyFont="1" applyFill="1" applyBorder="1" applyProtection="1">
      <protection hidden="1"/>
    </xf>
    <xf numFmtId="165" fontId="2" fillId="0" borderId="7" xfId="25" applyNumberFormat="1" applyFont="1" applyBorder="1" applyProtection="1">
      <protection hidden="1"/>
    </xf>
    <xf numFmtId="175" fontId="2" fillId="2" borderId="4" xfId="25" applyNumberFormat="1" applyFont="1" applyFill="1" applyBorder="1" applyProtection="1">
      <protection hidden="1"/>
    </xf>
    <xf numFmtId="0" fontId="3" fillId="0" borderId="3" xfId="25" applyBorder="1" applyAlignment="1" applyProtection="1">
      <alignment horizontal="centerContinuous"/>
      <protection hidden="1"/>
    </xf>
    <xf numFmtId="0" fontId="2" fillId="0" borderId="16" xfId="25" applyFont="1" applyBorder="1" applyAlignment="1" applyProtection="1">
      <alignment horizontal="left"/>
      <protection locked="0"/>
    </xf>
    <xf numFmtId="0" fontId="2" fillId="0" borderId="17" xfId="25" applyFont="1" applyBorder="1" applyAlignment="1" applyProtection="1">
      <alignment horizontal="left"/>
      <protection hidden="1"/>
    </xf>
    <xf numFmtId="165" fontId="2" fillId="0" borderId="17" xfId="25" applyNumberFormat="1" applyFont="1" applyBorder="1" applyProtection="1">
      <protection hidden="1"/>
    </xf>
    <xf numFmtId="10" fontId="4" fillId="0" borderId="17" xfId="25" applyNumberFormat="1" applyFont="1" applyBorder="1" applyAlignment="1" applyProtection="1">
      <alignment horizontal="center"/>
      <protection locked="0"/>
    </xf>
    <xf numFmtId="165" fontId="2" fillId="0" borderId="18" xfId="25" applyNumberFormat="1" applyFont="1" applyBorder="1" applyProtection="1">
      <protection hidden="1"/>
    </xf>
    <xf numFmtId="0" fontId="2" fillId="0" borderId="38" xfId="25" applyFont="1" applyBorder="1" applyAlignment="1" applyProtection="1">
      <alignment horizontal="left"/>
      <protection locked="0"/>
    </xf>
    <xf numFmtId="0" fontId="2" fillId="0" borderId="39" xfId="25" applyFont="1" applyBorder="1" applyAlignment="1" applyProtection="1">
      <alignment horizontal="left"/>
      <protection hidden="1"/>
    </xf>
    <xf numFmtId="165" fontId="2" fillId="0" borderId="39" xfId="25" applyNumberFormat="1" applyFont="1" applyBorder="1" applyProtection="1">
      <protection hidden="1"/>
    </xf>
    <xf numFmtId="10" fontId="4" fillId="0" borderId="39" xfId="25" applyNumberFormat="1" applyFont="1" applyBorder="1" applyAlignment="1" applyProtection="1">
      <alignment horizontal="center"/>
      <protection locked="0"/>
    </xf>
    <xf numFmtId="165" fontId="2" fillId="0" borderId="40" xfId="25" applyNumberFormat="1" applyFont="1" applyBorder="1" applyProtection="1">
      <protection hidden="1"/>
    </xf>
    <xf numFmtId="0" fontId="35" fillId="6" borderId="31" xfId="0" applyFont="1" applyFill="1" applyBorder="1"/>
    <xf numFmtId="0" fontId="35" fillId="6" borderId="0" xfId="0" applyFont="1" applyFill="1"/>
    <xf numFmtId="0" fontId="35" fillId="0" borderId="0" xfId="0" applyFont="1"/>
    <xf numFmtId="0" fontId="33" fillId="7" borderId="29" xfId="0" applyFont="1" applyFill="1" applyBorder="1"/>
    <xf numFmtId="0" fontId="3" fillId="6" borderId="0" xfId="0" applyFont="1" applyFill="1"/>
    <xf numFmtId="165" fontId="3" fillId="7" borderId="0" xfId="0" applyNumberFormat="1" applyFont="1" applyFill="1"/>
    <xf numFmtId="174" fontId="3" fillId="7" borderId="0" xfId="0" applyNumberFormat="1" applyFont="1" applyFill="1"/>
    <xf numFmtId="172" fontId="33" fillId="5" borderId="26" xfId="0" applyNumberFormat="1" applyFont="1" applyFill="1" applyBorder="1"/>
    <xf numFmtId="0" fontId="33" fillId="5" borderId="41" xfId="0" applyFont="1" applyFill="1" applyBorder="1"/>
    <xf numFmtId="0" fontId="33" fillId="5" borderId="29" xfId="0" applyFont="1" applyFill="1" applyBorder="1"/>
    <xf numFmtId="0" fontId="3" fillId="0" borderId="0" xfId="0" applyFont="1"/>
    <xf numFmtId="0" fontId="35" fillId="0" borderId="0" xfId="25" applyFont="1" applyProtection="1">
      <protection hidden="1"/>
    </xf>
    <xf numFmtId="167" fontId="31" fillId="0" borderId="0" xfId="25" applyNumberFormat="1" applyFont="1" applyProtection="1">
      <protection hidden="1"/>
    </xf>
    <xf numFmtId="174" fontId="37" fillId="5" borderId="34" xfId="16" applyNumberFormat="1" applyFont="1" applyFill="1" applyBorder="1" applyAlignment="1"/>
    <xf numFmtId="174" fontId="33" fillId="5" borderId="0" xfId="16" applyNumberFormat="1" applyFont="1" applyFill="1" applyBorder="1" applyAlignment="1"/>
    <xf numFmtId="174" fontId="33" fillId="5" borderId="34" xfId="16" applyNumberFormat="1" applyFont="1" applyFill="1" applyBorder="1" applyAlignment="1"/>
    <xf numFmtId="0" fontId="3" fillId="6" borderId="30" xfId="0" applyFont="1" applyFill="1" applyBorder="1"/>
    <xf numFmtId="0" fontId="33" fillId="6" borderId="32" xfId="0" applyFont="1" applyFill="1" applyBorder="1"/>
    <xf numFmtId="165" fontId="33" fillId="7" borderId="29" xfId="16" applyFont="1" applyFill="1" applyBorder="1" applyAlignment="1"/>
    <xf numFmtId="165" fontId="37" fillId="6" borderId="29" xfId="16" applyFont="1" applyFill="1" applyBorder="1" applyAlignment="1">
      <alignment horizontal="left"/>
    </xf>
    <xf numFmtId="0" fontId="3" fillId="5" borderId="0" xfId="57" applyFill="1"/>
    <xf numFmtId="0" fontId="6" fillId="5" borderId="0" xfId="57" applyFont="1" applyFill="1"/>
    <xf numFmtId="0" fontId="3" fillId="5" borderId="0" xfId="25" applyFill="1"/>
    <xf numFmtId="170" fontId="3" fillId="5" borderId="0" xfId="25" applyNumberFormat="1" applyFill="1" applyAlignment="1">
      <alignment horizontal="center"/>
    </xf>
    <xf numFmtId="172" fontId="34" fillId="5" borderId="0" xfId="25" applyNumberFormat="1" applyFont="1" applyFill="1" applyAlignment="1" applyProtection="1">
      <alignment horizontal="center"/>
      <protection locked="0"/>
    </xf>
    <xf numFmtId="0" fontId="38" fillId="5" borderId="0" xfId="57" applyFont="1" applyFill="1"/>
    <xf numFmtId="15" fontId="3" fillId="5" borderId="0" xfId="25" applyNumberFormat="1" applyFill="1"/>
    <xf numFmtId="0" fontId="3" fillId="5" borderId="0" xfId="57" applyFill="1" applyProtection="1">
      <protection locked="0"/>
    </xf>
    <xf numFmtId="14" fontId="2" fillId="5" borderId="0" xfId="57" applyNumberFormat="1" applyFont="1" applyFill="1"/>
    <xf numFmtId="165" fontId="3" fillId="5" borderId="0" xfId="57" applyNumberFormat="1" applyFill="1" applyAlignment="1">
      <alignment horizontal="center"/>
    </xf>
    <xf numFmtId="165" fontId="2" fillId="5" borderId="0" xfId="57" applyNumberFormat="1" applyFont="1" applyFill="1" applyAlignment="1">
      <alignment horizontal="center"/>
    </xf>
    <xf numFmtId="0" fontId="2" fillId="5" borderId="0" xfId="57" applyFont="1" applyFill="1" applyAlignment="1">
      <alignment horizontal="left" vertical="center" wrapText="1"/>
    </xf>
    <xf numFmtId="165" fontId="3" fillId="5" borderId="0" xfId="57" applyNumberFormat="1" applyFill="1" applyAlignment="1">
      <alignment horizontal="center" vertical="center"/>
    </xf>
    <xf numFmtId="0" fontId="2" fillId="5" borderId="0" xfId="57" applyFont="1" applyFill="1" applyAlignment="1">
      <alignment horizontal="center" vertical="center"/>
    </xf>
    <xf numFmtId="0" fontId="3" fillId="5" borderId="0" xfId="57" applyFill="1" applyAlignment="1">
      <alignment horizontal="center" vertical="center"/>
    </xf>
    <xf numFmtId="2" fontId="3" fillId="5" borderId="0" xfId="57" applyNumberFormat="1" applyFill="1" applyAlignment="1">
      <alignment horizontal="center" vertical="center"/>
    </xf>
    <xf numFmtId="165" fontId="3" fillId="5" borderId="0" xfId="57" applyNumberFormat="1" applyFill="1" applyAlignment="1">
      <alignment horizontal="center" vertical="center" wrapText="1"/>
    </xf>
    <xf numFmtId="0" fontId="3" fillId="5" borderId="0" xfId="57" applyFill="1" applyAlignment="1">
      <alignment horizontal="left" vertical="center"/>
    </xf>
    <xf numFmtId="0" fontId="2" fillId="5" borderId="0" xfId="57" applyFont="1" applyFill="1" applyAlignment="1">
      <alignment horizontal="left" vertical="center"/>
    </xf>
    <xf numFmtId="0" fontId="3" fillId="5" borderId="0" xfId="57" applyFill="1" applyAlignment="1">
      <alignment horizontal="left" vertical="center" wrapText="1"/>
    </xf>
    <xf numFmtId="165" fontId="3" fillId="5" borderId="0" xfId="57" applyNumberFormat="1" applyFill="1"/>
    <xf numFmtId="0" fontId="27" fillId="5" borderId="0" xfId="25" applyFont="1" applyFill="1"/>
    <xf numFmtId="0" fontId="29" fillId="5" borderId="31" xfId="25" applyFont="1" applyFill="1" applyBorder="1"/>
    <xf numFmtId="0" fontId="29" fillId="5" borderId="31" xfId="25" applyFont="1" applyFill="1" applyBorder="1" applyAlignment="1">
      <alignment horizontal="center"/>
    </xf>
    <xf numFmtId="165" fontId="3" fillId="5" borderId="0" xfId="57" applyNumberFormat="1" applyFill="1" applyAlignment="1">
      <alignment horizontal="right"/>
    </xf>
    <xf numFmtId="165" fontId="31" fillId="5" borderId="0" xfId="57" applyNumberFormat="1" applyFont="1" applyFill="1" applyAlignment="1" applyProtection="1">
      <alignment horizontal="right"/>
      <protection locked="0"/>
    </xf>
    <xf numFmtId="173" fontId="3" fillId="5" borderId="0" xfId="57" applyNumberFormat="1" applyFill="1" applyAlignment="1">
      <alignment horizontal="right"/>
    </xf>
    <xf numFmtId="0" fontId="3" fillId="5" borderId="0" xfId="57" applyFill="1" applyAlignment="1">
      <alignment horizontal="right"/>
    </xf>
    <xf numFmtId="0" fontId="0" fillId="5" borderId="0" xfId="0" applyFill="1"/>
    <xf numFmtId="0" fontId="3" fillId="5" borderId="0" xfId="0" applyFont="1" applyFill="1"/>
    <xf numFmtId="173" fontId="2" fillId="5" borderId="26" xfId="57" applyNumberFormat="1" applyFont="1" applyFill="1" applyBorder="1" applyAlignment="1">
      <alignment horizontal="right"/>
    </xf>
    <xf numFmtId="172" fontId="23" fillId="2" borderId="45" xfId="0" applyNumberFormat="1" applyFont="1" applyFill="1" applyBorder="1"/>
    <xf numFmtId="172" fontId="23" fillId="2" borderId="10" xfId="0" applyNumberFormat="1" applyFont="1" applyFill="1" applyBorder="1"/>
    <xf numFmtId="0" fontId="1" fillId="5" borderId="0" xfId="0" applyFont="1" applyFill="1"/>
    <xf numFmtId="0" fontId="2" fillId="8" borderId="8" xfId="0" applyFont="1" applyFill="1" applyBorder="1" applyAlignment="1" applyProtection="1">
      <alignment horizontal="left"/>
      <protection hidden="1"/>
    </xf>
    <xf numFmtId="0" fontId="3" fillId="8" borderId="8" xfId="0" applyFont="1" applyFill="1" applyBorder="1" applyProtection="1">
      <protection hidden="1"/>
    </xf>
    <xf numFmtId="0" fontId="3" fillId="8" borderId="9" xfId="0" applyFont="1" applyFill="1" applyBorder="1" applyProtection="1">
      <protection hidden="1"/>
    </xf>
    <xf numFmtId="0" fontId="2" fillId="8" borderId="11" xfId="25" applyFont="1" applyFill="1" applyBorder="1" applyAlignment="1" applyProtection="1">
      <alignment horizontal="left"/>
      <protection hidden="1"/>
    </xf>
    <xf numFmtId="0" fontId="2" fillId="8" borderId="1" xfId="25" applyFont="1" applyFill="1" applyBorder="1" applyAlignment="1" applyProtection="1">
      <alignment horizontal="left"/>
      <protection hidden="1"/>
    </xf>
    <xf numFmtId="168" fontId="2" fillId="8" borderId="3" xfId="25" applyNumberFormat="1" applyFont="1" applyFill="1" applyBorder="1" applyAlignment="1" applyProtection="1">
      <alignment horizontal="left"/>
      <protection hidden="1"/>
    </xf>
    <xf numFmtId="169" fontId="2" fillId="8" borderId="4" xfId="0" applyNumberFormat="1" applyFont="1" applyFill="1" applyBorder="1" applyAlignment="1" applyProtection="1">
      <alignment horizontal="right"/>
      <protection hidden="1"/>
    </xf>
    <xf numFmtId="165" fontId="2" fillId="8" borderId="4" xfId="0" applyNumberFormat="1" applyFont="1" applyFill="1" applyBorder="1" applyProtection="1">
      <protection hidden="1"/>
    </xf>
    <xf numFmtId="0" fontId="2" fillId="9" borderId="1" xfId="0" applyFont="1" applyFill="1" applyBorder="1" applyProtection="1">
      <protection hidden="1"/>
    </xf>
    <xf numFmtId="0" fontId="2" fillId="9" borderId="3" xfId="0" applyFont="1" applyFill="1" applyBorder="1" applyProtection="1">
      <protection hidden="1"/>
    </xf>
    <xf numFmtId="0" fontId="3" fillId="9" borderId="4" xfId="0" applyFont="1" applyFill="1" applyBorder="1" applyProtection="1">
      <protection hidden="1"/>
    </xf>
    <xf numFmtId="165" fontId="2" fillId="9" borderId="4" xfId="0" applyNumberFormat="1" applyFont="1" applyFill="1" applyBorder="1" applyProtection="1">
      <protection hidden="1"/>
    </xf>
    <xf numFmtId="0" fontId="2" fillId="9" borderId="11" xfId="25" applyFont="1" applyFill="1" applyBorder="1" applyAlignment="1" applyProtection="1">
      <alignment horizontal="left"/>
      <protection hidden="1"/>
    </xf>
    <xf numFmtId="0" fontId="2" fillId="9" borderId="1" xfId="25" applyFont="1" applyFill="1" applyBorder="1" applyAlignment="1" applyProtection="1">
      <alignment horizontal="left"/>
      <protection hidden="1"/>
    </xf>
    <xf numFmtId="0" fontId="3" fillId="9" borderId="3" xfId="25" applyFill="1" applyBorder="1" applyProtection="1">
      <protection hidden="1"/>
    </xf>
    <xf numFmtId="165" fontId="32" fillId="8" borderId="8" xfId="0" applyNumberFormat="1" applyFont="1" applyFill="1" applyBorder="1" applyProtection="1">
      <protection hidden="1"/>
    </xf>
    <xf numFmtId="0" fontId="2" fillId="8" borderId="1" xfId="0" applyFont="1" applyFill="1" applyBorder="1" applyAlignment="1" applyProtection="1">
      <alignment horizontal="left"/>
      <protection hidden="1"/>
    </xf>
    <xf numFmtId="0" fontId="3" fillId="8" borderId="1" xfId="0" applyFont="1" applyFill="1" applyBorder="1" applyProtection="1">
      <protection hidden="1"/>
    </xf>
    <xf numFmtId="0" fontId="3" fillId="8" borderId="3" xfId="0" applyFont="1" applyFill="1" applyBorder="1" applyProtection="1">
      <protection hidden="1"/>
    </xf>
    <xf numFmtId="165" fontId="32" fillId="8" borderId="1" xfId="0" applyNumberFormat="1" applyFont="1" applyFill="1" applyBorder="1" applyProtection="1">
      <protection hidden="1"/>
    </xf>
    <xf numFmtId="0" fontId="2" fillId="9" borderId="1" xfId="25" applyFont="1" applyFill="1" applyBorder="1" applyProtection="1">
      <protection hidden="1"/>
    </xf>
    <xf numFmtId="0" fontId="2" fillId="9" borderId="3" xfId="25" applyFont="1" applyFill="1" applyBorder="1" applyProtection="1">
      <protection hidden="1"/>
    </xf>
    <xf numFmtId="0" fontId="3" fillId="9" borderId="4" xfId="25" applyFill="1" applyBorder="1" applyProtection="1">
      <protection hidden="1"/>
    </xf>
    <xf numFmtId="165" fontId="2" fillId="9" borderId="4" xfId="25" applyNumberFormat="1" applyFont="1" applyFill="1" applyBorder="1" applyProtection="1">
      <protection hidden="1"/>
    </xf>
    <xf numFmtId="0" fontId="2" fillId="8" borderId="3" xfId="25" applyFont="1" applyFill="1" applyBorder="1" applyAlignment="1" applyProtection="1">
      <alignment horizontal="left" vertical="center"/>
      <protection hidden="1"/>
    </xf>
    <xf numFmtId="0" fontId="3" fillId="8" borderId="3" xfId="25" applyFill="1" applyBorder="1" applyProtection="1">
      <protection hidden="1"/>
    </xf>
    <xf numFmtId="0" fontId="2" fillId="8" borderId="3" xfId="25" applyFont="1" applyFill="1" applyBorder="1" applyAlignment="1" applyProtection="1">
      <alignment vertical="center" wrapText="1"/>
      <protection hidden="1"/>
    </xf>
    <xf numFmtId="0" fontId="3" fillId="8" borderId="3" xfId="25" applyFill="1" applyBorder="1" applyAlignment="1" applyProtection="1">
      <alignment vertical="center"/>
      <protection hidden="1"/>
    </xf>
    <xf numFmtId="165" fontId="2" fillId="8" borderId="1" xfId="25" applyNumberFormat="1" applyFont="1" applyFill="1" applyBorder="1" applyProtection="1">
      <protection hidden="1"/>
    </xf>
    <xf numFmtId="0" fontId="2" fillId="8" borderId="1" xfId="25" applyFont="1" applyFill="1" applyBorder="1" applyProtection="1">
      <protection hidden="1"/>
    </xf>
    <xf numFmtId="0" fontId="3" fillId="8" borderId="1" xfId="25" applyFill="1" applyBorder="1" applyProtection="1">
      <protection hidden="1"/>
    </xf>
    <xf numFmtId="165" fontId="2" fillId="8" borderId="4" xfId="25" applyNumberFormat="1" applyFont="1" applyFill="1" applyBorder="1" applyAlignment="1" applyProtection="1">
      <alignment horizontal="right"/>
      <protection hidden="1"/>
    </xf>
    <xf numFmtId="165" fontId="2" fillId="8" borderId="4" xfId="25" applyNumberFormat="1" applyFont="1" applyFill="1" applyBorder="1" applyProtection="1">
      <protection hidden="1"/>
    </xf>
    <xf numFmtId="165" fontId="31" fillId="8" borderId="4" xfId="25" applyNumberFormat="1" applyFont="1" applyFill="1" applyBorder="1" applyProtection="1">
      <protection hidden="1"/>
    </xf>
    <xf numFmtId="0" fontId="29" fillId="9" borderId="33" xfId="0" applyFont="1" applyFill="1" applyBorder="1"/>
    <xf numFmtId="0" fontId="29" fillId="9" borderId="26" xfId="39" applyFont="1" applyFill="1" applyBorder="1" applyAlignment="1">
      <alignment horizontal="center" wrapText="1"/>
    </xf>
    <xf numFmtId="0" fontId="33" fillId="9" borderId="26" xfId="39" applyFont="1" applyFill="1" applyBorder="1" applyAlignment="1">
      <alignment horizontal="center" wrapText="1"/>
    </xf>
    <xf numFmtId="165" fontId="33" fillId="8" borderId="29" xfId="16" applyFont="1" applyFill="1" applyBorder="1" applyAlignment="1"/>
    <xf numFmtId="0" fontId="29" fillId="8" borderId="0" xfId="0" applyFont="1" applyFill="1"/>
    <xf numFmtId="0" fontId="33" fillId="8" borderId="0" xfId="0" applyFont="1" applyFill="1"/>
    <xf numFmtId="165" fontId="33" fillId="8" borderId="0" xfId="16" applyFont="1" applyFill="1" applyBorder="1" applyAlignment="1">
      <alignment horizontal="center" vertical="center" wrapText="1"/>
    </xf>
    <xf numFmtId="165" fontId="34" fillId="8" borderId="0" xfId="16" applyFont="1" applyFill="1" applyBorder="1" applyAlignment="1">
      <alignment horizontal="center" vertical="center" wrapText="1"/>
    </xf>
    <xf numFmtId="0" fontId="33" fillId="8" borderId="29" xfId="0" applyFont="1" applyFill="1" applyBorder="1"/>
    <xf numFmtId="174" fontId="33" fillId="8" borderId="0" xfId="16" applyNumberFormat="1" applyFont="1" applyFill="1" applyBorder="1" applyAlignment="1"/>
    <xf numFmtId="174" fontId="33" fillId="8" borderId="42" xfId="16" applyNumberFormat="1" applyFont="1" applyFill="1" applyBorder="1" applyAlignment="1"/>
    <xf numFmtId="0" fontId="2" fillId="0" borderId="12" xfId="57" applyFont="1" applyBorder="1" applyAlignment="1">
      <alignment horizontal="center" vertical="center" textRotation="90" wrapText="1"/>
    </xf>
    <xf numFmtId="0" fontId="2" fillId="0" borderId="7" xfId="57" applyFont="1" applyBorder="1" applyAlignment="1">
      <alignment horizontal="center" vertical="center" textRotation="90" wrapText="1"/>
    </xf>
    <xf numFmtId="0" fontId="2" fillId="0" borderId="10" xfId="57" applyFont="1" applyBorder="1" applyAlignment="1">
      <alignment horizontal="center" vertical="center" textRotation="90" wrapText="1"/>
    </xf>
    <xf numFmtId="0" fontId="2" fillId="0" borderId="11" xfId="57" applyFont="1" applyBorder="1" applyAlignment="1">
      <alignment vertical="center" wrapText="1"/>
    </xf>
    <xf numFmtId="0" fontId="2" fillId="0" borderId="3" xfId="57" applyFont="1" applyBorder="1" applyAlignment="1">
      <alignment vertical="center" wrapText="1"/>
    </xf>
    <xf numFmtId="0" fontId="2" fillId="0" borderId="11" xfId="57" applyFont="1" applyBorder="1" applyAlignment="1">
      <alignment horizontal="center" vertical="center"/>
    </xf>
    <xf numFmtId="0" fontId="2" fillId="0" borderId="3" xfId="57" applyFont="1" applyBorder="1" applyAlignment="1">
      <alignment horizontal="center" vertical="center"/>
    </xf>
    <xf numFmtId="0" fontId="2" fillId="5" borderId="0" xfId="25" applyFont="1" applyFill="1" applyAlignment="1" applyProtection="1">
      <alignment horizontal="center"/>
      <protection hidden="1"/>
    </xf>
    <xf numFmtId="0" fontId="2" fillId="5" borderId="0" xfId="0" applyFont="1" applyFill="1" applyAlignment="1" applyProtection="1">
      <alignment horizontal="center" wrapText="1"/>
      <protection hidden="1"/>
    </xf>
    <xf numFmtId="0" fontId="2" fillId="0" borderId="1" xfId="57" applyFont="1" applyBorder="1" applyAlignment="1">
      <alignment horizontal="center" vertical="center"/>
    </xf>
    <xf numFmtId="0" fontId="2" fillId="5" borderId="43" xfId="25" applyFont="1" applyFill="1" applyBorder="1" applyAlignment="1" applyProtection="1">
      <alignment horizontal="left"/>
      <protection hidden="1"/>
    </xf>
    <xf numFmtId="0" fontId="2" fillId="5" borderId="43" xfId="0" applyFont="1" applyFill="1" applyBorder="1" applyAlignment="1" applyProtection="1">
      <alignment horizontal="left" wrapText="1"/>
      <protection hidden="1"/>
    </xf>
    <xf numFmtId="0" fontId="2" fillId="8" borderId="11" xfId="25" applyFont="1" applyFill="1" applyBorder="1" applyAlignment="1" applyProtection="1">
      <alignment horizontal="left" wrapText="1"/>
      <protection hidden="1"/>
    </xf>
    <xf numFmtId="0" fontId="2" fillId="8" borderId="1" xfId="25" applyFont="1" applyFill="1" applyBorder="1" applyAlignment="1" applyProtection="1">
      <alignment horizontal="left" wrapText="1"/>
      <protection hidden="1"/>
    </xf>
    <xf numFmtId="0" fontId="2" fillId="8" borderId="3" xfId="25" applyFont="1" applyFill="1" applyBorder="1" applyAlignment="1" applyProtection="1">
      <alignment horizontal="left" wrapText="1"/>
      <protection hidden="1"/>
    </xf>
    <xf numFmtId="0" fontId="30" fillId="0" borderId="0" xfId="39" applyFont="1" applyAlignment="1">
      <alignment horizontal="center"/>
    </xf>
    <xf numFmtId="0" fontId="3" fillId="0" borderId="23" xfId="0" applyFont="1" applyBorder="1" applyAlignment="1" applyProtection="1">
      <alignment horizontal="left" vertical="center"/>
      <protection hidden="1"/>
    </xf>
    <xf numFmtId="0" fontId="3" fillId="0" borderId="8" xfId="0" applyFont="1" applyBorder="1" applyAlignment="1" applyProtection="1">
      <alignment horizontal="left" vertical="center"/>
      <protection hidden="1"/>
    </xf>
    <xf numFmtId="0" fontId="3" fillId="0" borderId="9" xfId="0" applyFont="1" applyBorder="1" applyAlignment="1" applyProtection="1">
      <alignment horizontal="left" vertical="center"/>
      <protection hidden="1"/>
    </xf>
    <xf numFmtId="0" fontId="3" fillId="0" borderId="22"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24" xfId="0" applyFont="1" applyBorder="1" applyAlignment="1" applyProtection="1">
      <alignment horizontal="left" vertical="center"/>
      <protection hidden="1"/>
    </xf>
    <xf numFmtId="0" fontId="3" fillId="0" borderId="6"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14" fillId="9" borderId="11" xfId="25" applyFont="1" applyFill="1" applyBorder="1" applyAlignment="1" applyProtection="1">
      <alignment horizontal="left" wrapText="1"/>
      <protection hidden="1"/>
    </xf>
    <xf numFmtId="0" fontId="3" fillId="9" borderId="1" xfId="25" applyFill="1" applyBorder="1" applyAlignment="1">
      <alignment wrapText="1"/>
    </xf>
    <xf numFmtId="0" fontId="14" fillId="9" borderId="1" xfId="25" applyFont="1" applyFill="1" applyBorder="1" applyAlignment="1" applyProtection="1">
      <alignment wrapText="1"/>
      <protection hidden="1"/>
    </xf>
    <xf numFmtId="0" fontId="3" fillId="8" borderId="1" xfId="25" applyFill="1" applyBorder="1" applyAlignment="1">
      <alignment horizontal="left" wrapText="1"/>
    </xf>
    <xf numFmtId="0" fontId="3" fillId="8" borderId="3" xfId="25" applyFill="1" applyBorder="1" applyAlignment="1">
      <alignment horizontal="left" wrapText="1"/>
    </xf>
    <xf numFmtId="0" fontId="2" fillId="9" borderId="11" xfId="25" applyFont="1" applyFill="1" applyBorder="1" applyAlignment="1" applyProtection="1">
      <alignment horizontal="left" wrapText="1"/>
      <protection hidden="1"/>
    </xf>
    <xf numFmtId="0" fontId="3" fillId="9" borderId="1" xfId="25" applyFill="1" applyBorder="1" applyAlignment="1">
      <alignment horizontal="left" wrapText="1"/>
    </xf>
    <xf numFmtId="0" fontId="3" fillId="9" borderId="3" xfId="25" applyFill="1" applyBorder="1" applyAlignment="1">
      <alignment horizontal="left" wrapText="1"/>
    </xf>
    <xf numFmtId="0" fontId="2" fillId="9" borderId="11" xfId="25" applyFont="1" applyFill="1" applyBorder="1" applyAlignment="1" applyProtection="1">
      <alignment horizontal="left" wrapText="1" readingOrder="1"/>
      <protection hidden="1"/>
    </xf>
    <xf numFmtId="0" fontId="2" fillId="9" borderId="1" xfId="25" applyFont="1" applyFill="1" applyBorder="1" applyAlignment="1" applyProtection="1">
      <alignment horizontal="left" wrapText="1" readingOrder="1"/>
      <protection hidden="1"/>
    </xf>
    <xf numFmtId="0" fontId="2" fillId="9" borderId="3" xfId="25" applyFont="1" applyFill="1" applyBorder="1" applyAlignment="1" applyProtection="1">
      <alignment horizontal="left" wrapText="1" readingOrder="1"/>
      <protection hidden="1"/>
    </xf>
    <xf numFmtId="167" fontId="2" fillId="8" borderId="11" xfId="25" applyNumberFormat="1" applyFont="1" applyFill="1" applyBorder="1" applyAlignment="1" applyProtection="1">
      <alignment horizontal="left" wrapText="1"/>
      <protection hidden="1"/>
    </xf>
    <xf numFmtId="167" fontId="2" fillId="8" borderId="1" xfId="25" applyNumberFormat="1" applyFont="1" applyFill="1" applyBorder="1" applyAlignment="1" applyProtection="1">
      <alignment horizontal="left" wrapText="1"/>
      <protection hidden="1"/>
    </xf>
    <xf numFmtId="167" fontId="2" fillId="8" borderId="3" xfId="25" applyNumberFormat="1" applyFont="1" applyFill="1" applyBorder="1" applyAlignment="1" applyProtection="1">
      <alignment horizontal="left" wrapText="1"/>
      <protection hidden="1"/>
    </xf>
    <xf numFmtId="0" fontId="23" fillId="2" borderId="27" xfId="0" applyFont="1" applyFill="1" applyBorder="1" applyAlignment="1">
      <alignment wrapText="1"/>
    </xf>
    <xf numFmtId="0" fontId="23" fillId="2" borderId="28" xfId="0" applyFont="1" applyFill="1" applyBorder="1" applyAlignment="1">
      <alignment wrapText="1"/>
    </xf>
    <xf numFmtId="0" fontId="23" fillId="2" borderId="44" xfId="0" applyFont="1" applyFill="1" applyBorder="1" applyAlignment="1">
      <alignment wrapText="1"/>
    </xf>
    <xf numFmtId="0" fontId="23" fillId="2" borderId="46" xfId="0" applyFont="1" applyFill="1" applyBorder="1" applyAlignment="1">
      <alignment wrapText="1"/>
    </xf>
    <xf numFmtId="0" fontId="23" fillId="2" borderId="43" xfId="0" applyFont="1" applyFill="1" applyBorder="1" applyAlignment="1">
      <alignment wrapText="1"/>
    </xf>
    <xf numFmtId="0" fontId="23" fillId="2" borderId="47" xfId="0" applyFont="1" applyFill="1" applyBorder="1" applyAlignment="1">
      <alignment wrapText="1"/>
    </xf>
    <xf numFmtId="0" fontId="2" fillId="9" borderId="1" xfId="25" applyFont="1" applyFill="1" applyBorder="1" applyAlignment="1" applyProtection="1">
      <alignment wrapText="1"/>
      <protection hidden="1"/>
    </xf>
    <xf numFmtId="0" fontId="2" fillId="9" borderId="1" xfId="25" applyFont="1" applyFill="1" applyBorder="1" applyAlignment="1" applyProtection="1">
      <alignment horizontal="left" wrapText="1"/>
      <protection hidden="1"/>
    </xf>
    <xf numFmtId="0" fontId="2" fillId="9" borderId="3" xfId="25" applyFont="1" applyFill="1" applyBorder="1" applyAlignment="1" applyProtection="1">
      <alignment horizontal="left" wrapText="1"/>
      <protection hidden="1"/>
    </xf>
    <xf numFmtId="0" fontId="3" fillId="5" borderId="29" xfId="0" applyFont="1" applyFill="1" applyBorder="1" applyAlignment="1">
      <alignment horizontal="left" vertical="center" wrapText="1"/>
    </xf>
    <xf numFmtId="0" fontId="3" fillId="5" borderId="0" xfId="0" applyFont="1" applyFill="1" applyAlignment="1">
      <alignment horizontal="left" vertical="center" wrapText="1"/>
    </xf>
  </cellXfs>
  <cellStyles count="105">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7" xfId="19" xr:uid="{00000000-0005-0000-0000-000012000000}"/>
    <cellStyle name="Currency 2" xfId="20" xr:uid="{00000000-0005-0000-0000-000013000000}"/>
    <cellStyle name="Currency 3" xfId="21" xr:uid="{00000000-0005-0000-0000-000014000000}"/>
    <cellStyle name="Hyperlink 2 2" xfId="22" xr:uid="{00000000-0005-0000-0000-000015000000}"/>
    <cellStyle name="Hyperlink 2 3" xfId="23" xr:uid="{00000000-0005-0000-0000-000016000000}"/>
    <cellStyle name="Hyperlink 3 2" xfId="24" xr:uid="{00000000-0005-0000-0000-000017000000}"/>
    <cellStyle name="Normal" xfId="0" builtinId="0"/>
    <cellStyle name="Normal 2 2" xfId="25" xr:uid="{00000000-0005-0000-0000-000019000000}"/>
    <cellStyle name="Normal 2 2 2" xfId="26" xr:uid="{00000000-0005-0000-0000-00001A000000}"/>
    <cellStyle name="Normal 2 2 2 2" xfId="27" xr:uid="{00000000-0005-0000-0000-00001B000000}"/>
    <cellStyle name="Normal 2 2 2 3" xfId="28" xr:uid="{00000000-0005-0000-0000-00001C000000}"/>
    <cellStyle name="Normal 2 2 3" xfId="29" xr:uid="{00000000-0005-0000-0000-00001D000000}"/>
    <cellStyle name="Normal 2 2 4" xfId="30" xr:uid="{00000000-0005-0000-0000-00001E000000}"/>
    <cellStyle name="Normal 2 2 5" xfId="31" xr:uid="{00000000-0005-0000-0000-00001F000000}"/>
    <cellStyle name="Normal 2 3" xfId="32" xr:uid="{00000000-0005-0000-0000-000020000000}"/>
    <cellStyle name="Normal 2 3 2" xfId="33" xr:uid="{00000000-0005-0000-0000-000021000000}"/>
    <cellStyle name="Normal 2 3 3" xfId="34" xr:uid="{00000000-0005-0000-0000-000022000000}"/>
    <cellStyle name="Normal 2 4" xfId="35" xr:uid="{00000000-0005-0000-0000-000023000000}"/>
    <cellStyle name="Normal 2 5" xfId="36" xr:uid="{00000000-0005-0000-0000-000024000000}"/>
    <cellStyle name="Normal 2 6" xfId="37" xr:uid="{00000000-0005-0000-0000-000025000000}"/>
    <cellStyle name="Normal 3 2" xfId="38" xr:uid="{00000000-0005-0000-0000-000026000000}"/>
    <cellStyle name="Normal 3 2 2" xfId="39" xr:uid="{00000000-0005-0000-0000-000027000000}"/>
    <cellStyle name="Normal 3 2 3" xfId="40" xr:uid="{00000000-0005-0000-0000-000028000000}"/>
    <cellStyle name="Normal 3 2 4" xfId="41" xr:uid="{00000000-0005-0000-0000-000029000000}"/>
    <cellStyle name="Normal 3 2 4 2" xfId="42" xr:uid="{00000000-0005-0000-0000-00002A000000}"/>
    <cellStyle name="Normal 3 2 4 3" xfId="43" xr:uid="{00000000-0005-0000-0000-00002B000000}"/>
    <cellStyle name="Normal 3 2 5" xfId="44" xr:uid="{00000000-0005-0000-0000-00002C000000}"/>
    <cellStyle name="Normal 3 3" xfId="45" xr:uid="{00000000-0005-0000-0000-00002D000000}"/>
    <cellStyle name="Normal 3 4" xfId="46" xr:uid="{00000000-0005-0000-0000-00002E000000}"/>
    <cellStyle name="Normal 3 5" xfId="47" xr:uid="{00000000-0005-0000-0000-00002F000000}"/>
    <cellStyle name="Normal 4" xfId="48" xr:uid="{00000000-0005-0000-0000-000030000000}"/>
    <cellStyle name="Normal 4 2" xfId="49" xr:uid="{00000000-0005-0000-0000-000031000000}"/>
    <cellStyle name="Normal 4 2 2" xfId="50" xr:uid="{00000000-0005-0000-0000-000032000000}"/>
    <cellStyle name="Normal 4 2 3" xfId="51" xr:uid="{00000000-0005-0000-0000-000033000000}"/>
    <cellStyle name="Normal 4 3" xfId="52" xr:uid="{00000000-0005-0000-0000-000034000000}"/>
    <cellStyle name="Normal 5" xfId="53" xr:uid="{00000000-0005-0000-0000-000035000000}"/>
    <cellStyle name="Normal 5 2" xfId="54" xr:uid="{00000000-0005-0000-0000-000036000000}"/>
    <cellStyle name="Normal 5 3" xfId="55" xr:uid="{00000000-0005-0000-0000-000037000000}"/>
    <cellStyle name="Normal 5 4" xfId="56" xr:uid="{00000000-0005-0000-0000-000038000000}"/>
    <cellStyle name="Normal 6" xfId="57" xr:uid="{00000000-0005-0000-0000-000039000000}"/>
    <cellStyle name="Normal 6 2" xfId="58" xr:uid="{00000000-0005-0000-0000-00003A000000}"/>
    <cellStyle name="Normal 6 3" xfId="59" xr:uid="{00000000-0005-0000-0000-00003B000000}"/>
    <cellStyle name="Normal 6 3 2" xfId="60" xr:uid="{00000000-0005-0000-0000-00003C000000}"/>
    <cellStyle name="Normal 6 3 3" xfId="61" xr:uid="{00000000-0005-0000-0000-00003D000000}"/>
    <cellStyle name="Normal 7" xfId="62" xr:uid="{00000000-0005-0000-0000-00003E000000}"/>
    <cellStyle name="Normal 7 2" xfId="63" xr:uid="{00000000-0005-0000-0000-00003F000000}"/>
    <cellStyle name="Normal 8" xfId="64" xr:uid="{00000000-0005-0000-0000-000040000000}"/>
    <cellStyle name="Normal 9" xfId="65" xr:uid="{00000000-0005-0000-0000-000041000000}"/>
    <cellStyle name="Normal 9 2" xfId="66" xr:uid="{00000000-0005-0000-0000-000042000000}"/>
    <cellStyle name="Percent 10" xfId="67" xr:uid="{00000000-0005-0000-0000-000043000000}"/>
    <cellStyle name="Percent 10 2" xfId="68" xr:uid="{00000000-0005-0000-0000-000044000000}"/>
    <cellStyle name="Percent 10 3" xfId="69" xr:uid="{00000000-0005-0000-0000-000045000000}"/>
    <cellStyle name="Percent 10 4" xfId="70" xr:uid="{00000000-0005-0000-0000-000046000000}"/>
    <cellStyle name="Percent 2" xfId="71" xr:uid="{00000000-0005-0000-0000-000047000000}"/>
    <cellStyle name="Percent 2 2" xfId="72" xr:uid="{00000000-0005-0000-0000-000048000000}"/>
    <cellStyle name="Percent 2 3" xfId="73" xr:uid="{00000000-0005-0000-0000-000049000000}"/>
    <cellStyle name="Percent 2 3 2" xfId="74" xr:uid="{00000000-0005-0000-0000-00004A000000}"/>
    <cellStyle name="Percent 2 3 3" xfId="75" xr:uid="{00000000-0005-0000-0000-00004B000000}"/>
    <cellStyle name="Percent 2 3 4" xfId="76" xr:uid="{00000000-0005-0000-0000-00004C000000}"/>
    <cellStyle name="Percent 2 4" xfId="77" xr:uid="{00000000-0005-0000-0000-00004D000000}"/>
    <cellStyle name="Percent 2 5" xfId="78" xr:uid="{00000000-0005-0000-0000-00004E000000}"/>
    <cellStyle name="Percent 3" xfId="79" xr:uid="{00000000-0005-0000-0000-00004F000000}"/>
    <cellStyle name="Percent 3 2" xfId="80" xr:uid="{00000000-0005-0000-0000-000050000000}"/>
    <cellStyle name="Percent 4" xfId="81" xr:uid="{00000000-0005-0000-0000-000051000000}"/>
    <cellStyle name="Percent 4 2" xfId="82" xr:uid="{00000000-0005-0000-0000-000052000000}"/>
    <cellStyle name="Percent 5" xfId="83" xr:uid="{00000000-0005-0000-0000-000053000000}"/>
    <cellStyle name="Percent 5 2" xfId="84" xr:uid="{00000000-0005-0000-0000-000054000000}"/>
    <cellStyle name="Percent 5 2 2" xfId="85" xr:uid="{00000000-0005-0000-0000-000055000000}"/>
    <cellStyle name="Percent 5 2 3" xfId="86" xr:uid="{00000000-0005-0000-0000-000056000000}"/>
    <cellStyle name="Percent 5 2 3 2" xfId="87" xr:uid="{00000000-0005-0000-0000-000057000000}"/>
    <cellStyle name="Percent 5 3" xfId="88" xr:uid="{00000000-0005-0000-0000-000058000000}"/>
    <cellStyle name="Percent 5 3 2" xfId="89" xr:uid="{00000000-0005-0000-0000-000059000000}"/>
    <cellStyle name="Percent 6" xfId="90" xr:uid="{00000000-0005-0000-0000-00005A000000}"/>
    <cellStyle name="Percent 6 2" xfId="91" xr:uid="{00000000-0005-0000-0000-00005B000000}"/>
    <cellStyle name="Percent 6 3" xfId="92" xr:uid="{00000000-0005-0000-0000-00005C000000}"/>
    <cellStyle name="Percent 7" xfId="93" xr:uid="{00000000-0005-0000-0000-00005D000000}"/>
    <cellStyle name="Percent 7 2" xfId="94" xr:uid="{00000000-0005-0000-0000-00005E000000}"/>
    <cellStyle name="Percent 7 3" xfId="95" xr:uid="{00000000-0005-0000-0000-00005F000000}"/>
    <cellStyle name="Percent 7 4" xfId="96" xr:uid="{00000000-0005-0000-0000-000060000000}"/>
    <cellStyle name="Percent 7 4 2" xfId="97" xr:uid="{00000000-0005-0000-0000-000061000000}"/>
    <cellStyle name="Percent 7 5" xfId="98" xr:uid="{00000000-0005-0000-0000-000062000000}"/>
    <cellStyle name="Percent 7 5 2" xfId="99" xr:uid="{00000000-0005-0000-0000-000063000000}"/>
    <cellStyle name="Percent 8" xfId="100" xr:uid="{00000000-0005-0000-0000-000064000000}"/>
    <cellStyle name="Percent 8 2" xfId="101" xr:uid="{00000000-0005-0000-0000-000065000000}"/>
    <cellStyle name="Percent 8 3" xfId="102" xr:uid="{00000000-0005-0000-0000-000066000000}"/>
    <cellStyle name="Percent 8 3 2" xfId="103" xr:uid="{00000000-0005-0000-0000-000067000000}"/>
    <cellStyle name="Percent 9" xfId="104" xr:uid="{00000000-0005-0000-0000-000068000000}"/>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AD9244"/>
      <color rgb="FF3A63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ZA" sz="1100" b="1" i="0" baseline="0">
                <a:effectLst/>
              </a:rPr>
              <a:t>Margin Comparison / Marge Vergelyking: Northern Cape Irrigation (R/ha)</a:t>
            </a:r>
            <a:endParaRPr lang="en-GB" sz="1100">
              <a:effectLst/>
            </a:endParaRPr>
          </a:p>
        </c:rich>
      </c:tx>
      <c:overlay val="0"/>
      <c:spPr>
        <a:noFill/>
        <a:ln w="25400">
          <a:noFill/>
        </a:ln>
      </c:spPr>
    </c:title>
    <c:autoTitleDeleted val="0"/>
    <c:plotArea>
      <c:layout>
        <c:manualLayout>
          <c:layoutTarget val="inner"/>
          <c:xMode val="edge"/>
          <c:yMode val="edge"/>
          <c:x val="0.11843363555286714"/>
          <c:y val="0.15729869457730999"/>
          <c:w val="0.81471911804535091"/>
          <c:h val="0.7351528666783369"/>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Comparison'!$B$2:$D$2</c:f>
              <c:strCache>
                <c:ptCount val="3"/>
                <c:pt idx="0">
                  <c:v>Irr-Maize</c:v>
                </c:pt>
                <c:pt idx="1">
                  <c:v>Irr-Soy</c:v>
                </c:pt>
                <c:pt idx="2">
                  <c:v>Irr-Groundnuts</c:v>
                </c:pt>
              </c:strCache>
            </c:strRef>
          </c:cat>
          <c:val>
            <c:numRef>
              <c:f>'Crop Comparison'!$B$34:$D$34</c:f>
              <c:numCache>
                <c:formatCode>"R"\ #\ ##0</c:formatCode>
                <c:ptCount val="3"/>
                <c:pt idx="0">
                  <c:v>6879.6547545333233</c:v>
                </c:pt>
                <c:pt idx="1">
                  <c:v>6320.9723174995852</c:v>
                </c:pt>
                <c:pt idx="2">
                  <c:v>11727.377582882029</c:v>
                </c:pt>
              </c:numCache>
            </c:numRef>
          </c:val>
          <c:extLst>
            <c:ext xmlns:c16="http://schemas.microsoft.com/office/drawing/2014/chart" uri="{C3380CC4-5D6E-409C-BE32-E72D297353CC}">
              <c16:uniqueId val="{00000001-C0BA-419D-8EEF-15E218347CCC}"/>
            </c:ext>
          </c:extLst>
        </c:ser>
        <c:ser>
          <c:idx val="1"/>
          <c:order val="1"/>
          <c:tx>
            <c:strRef>
              <c:f>'Crop Comparison'!$A$35</c:f>
              <c:strCache>
                <c:ptCount val="1"/>
                <c:pt idx="0">
                  <c:v>4) NETT MARGIN  (R/ha)</c:v>
                </c:pt>
              </c:strCache>
            </c:strRef>
          </c:tx>
          <c:spPr>
            <a:noFill/>
            <a:ln w="31750">
              <a:solidFill>
                <a:srgbClr val="FF0000"/>
              </a:solidFill>
            </a:ln>
          </c:spPr>
          <c:invertIfNegative val="0"/>
          <c:dLbls>
            <c:spPr>
              <a:ln>
                <a:solidFill>
                  <a:srgbClr val="FF0000"/>
                </a:solidFill>
              </a:ln>
            </c:spPr>
            <c:txPr>
              <a:bodyPr/>
              <a:lstStyle/>
              <a:p>
                <a:pPr>
                  <a:defRPr sz="11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Comparison'!$B$2:$D$2</c:f>
              <c:strCache>
                <c:ptCount val="3"/>
                <c:pt idx="0">
                  <c:v>Irr-Maize</c:v>
                </c:pt>
                <c:pt idx="1">
                  <c:v>Irr-Soy</c:v>
                </c:pt>
                <c:pt idx="2">
                  <c:v>Irr-Groundnuts</c:v>
                </c:pt>
              </c:strCache>
            </c:strRef>
          </c:cat>
          <c:val>
            <c:numRef>
              <c:f>'Crop Comparison'!$B$35:$D$35</c:f>
              <c:numCache>
                <c:formatCode>"R"\ #\ ##0</c:formatCode>
                <c:ptCount val="3"/>
                <c:pt idx="0">
                  <c:v>-57.143473855110642</c:v>
                </c:pt>
                <c:pt idx="1">
                  <c:v>430.97231749958519</c:v>
                </c:pt>
                <c:pt idx="2">
                  <c:v>4763.577582882026</c:v>
                </c:pt>
              </c:numCache>
            </c:numRef>
          </c:val>
          <c:extLst>
            <c:ext xmlns:c16="http://schemas.microsoft.com/office/drawing/2014/chart" uri="{C3380CC4-5D6E-409C-BE32-E72D297353CC}">
              <c16:uniqueId val="{00000002-C0BA-419D-8EEF-15E218347CCC}"/>
            </c:ext>
          </c:extLst>
        </c:ser>
        <c:dLbls>
          <c:showLegendKey val="0"/>
          <c:showVal val="0"/>
          <c:showCatName val="0"/>
          <c:showSerName val="0"/>
          <c:showPercent val="0"/>
          <c:showBubbleSize val="0"/>
        </c:dLbls>
        <c:gapWidth val="150"/>
        <c:axId val="1246651903"/>
        <c:axId val="1"/>
      </c:barChart>
      <c:catAx>
        <c:axId val="1246651903"/>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246651903"/>
        <c:crosses val="autoZero"/>
        <c:crossBetween val="between"/>
      </c:valAx>
      <c:spPr>
        <a:noFill/>
        <a:ln w="25400">
          <a:noFill/>
        </a:ln>
      </c:spPr>
    </c:plotArea>
    <c:legend>
      <c:legendPos val="r"/>
      <c:layout>
        <c:manualLayout>
          <c:xMode val="edge"/>
          <c:yMode val="edge"/>
          <c:x val="0.10860060679362783"/>
          <c:y val="0.87578623290664925"/>
          <c:w val="0.8190295762352765"/>
          <c:h val="8.7881663509663754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1005418</xdr:colOff>
      <xdr:row>3</xdr:row>
      <xdr:rowOff>63499</xdr:rowOff>
    </xdr:from>
    <xdr:to>
      <xdr:col>3</xdr:col>
      <xdr:colOff>444013</xdr:colOff>
      <xdr:row>8</xdr:row>
      <xdr:rowOff>102571</xdr:rowOff>
    </xdr:to>
    <xdr:pic>
      <xdr:nvPicPr>
        <xdr:cNvPr id="2" name="Picture 1" descr="GrainSA - YouTube">
          <a:extLst>
            <a:ext uri="{FF2B5EF4-FFF2-40B4-BE49-F238E27FC236}">
              <a16:creationId xmlns:a16="http://schemas.microsoft.com/office/drawing/2014/main" id="{2B112A7E-EE7D-4963-ADD2-B0098620F6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3751" y="920749"/>
          <a:ext cx="983762" cy="885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0</xdr:rowOff>
    </xdr:from>
    <xdr:to>
      <xdr:col>0</xdr:col>
      <xdr:colOff>800100</xdr:colOff>
      <xdr:row>47</xdr:row>
      <xdr:rowOff>15240</xdr:rowOff>
    </xdr:to>
    <xdr:pic>
      <xdr:nvPicPr>
        <xdr:cNvPr id="19321" name="Picture 3" descr="http://www.maizetrust.co.za/images/masthead.jpg">
          <a:extLst>
            <a:ext uri="{FF2B5EF4-FFF2-40B4-BE49-F238E27FC236}">
              <a16:creationId xmlns:a16="http://schemas.microsoft.com/office/drawing/2014/main" id="{D61A46B9-D684-3E19-F6B8-A66CE2188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32420"/>
          <a:ext cx="80010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560295</xdr:colOff>
      <xdr:row>0</xdr:row>
      <xdr:rowOff>100853</xdr:rowOff>
    </xdr:from>
    <xdr:to>
      <xdr:col>9</xdr:col>
      <xdr:colOff>12437</xdr:colOff>
      <xdr:row>3</xdr:row>
      <xdr:rowOff>15490</xdr:rowOff>
    </xdr:to>
    <xdr:pic>
      <xdr:nvPicPr>
        <xdr:cNvPr id="2" name="Picture 1" descr="GrainSA - YouTube">
          <a:extLst>
            <a:ext uri="{FF2B5EF4-FFF2-40B4-BE49-F238E27FC236}">
              <a16:creationId xmlns:a16="http://schemas.microsoft.com/office/drawing/2014/main" id="{94B8CACB-24FA-4624-94CF-FD6849D70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45824" y="100853"/>
          <a:ext cx="976142" cy="889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966107</xdr:colOff>
      <xdr:row>0</xdr:row>
      <xdr:rowOff>95250</xdr:rowOff>
    </xdr:from>
    <xdr:to>
      <xdr:col>8</xdr:col>
      <xdr:colOff>960630</xdr:colOff>
      <xdr:row>3</xdr:row>
      <xdr:rowOff>14882</xdr:rowOff>
    </xdr:to>
    <xdr:pic>
      <xdr:nvPicPr>
        <xdr:cNvPr id="2" name="Picture 1" descr="GrainSA - YouTube">
          <a:extLst>
            <a:ext uri="{FF2B5EF4-FFF2-40B4-BE49-F238E27FC236}">
              <a16:creationId xmlns:a16="http://schemas.microsoft.com/office/drawing/2014/main" id="{408CE9E1-A3B9-4491-8C5A-24DD8BB06B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4357" y="95250"/>
          <a:ext cx="974237" cy="885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235323</xdr:colOff>
      <xdr:row>0</xdr:row>
      <xdr:rowOff>112059</xdr:rowOff>
    </xdr:from>
    <xdr:to>
      <xdr:col>8</xdr:col>
      <xdr:colOff>604442</xdr:colOff>
      <xdr:row>3</xdr:row>
      <xdr:rowOff>13585</xdr:rowOff>
    </xdr:to>
    <xdr:pic>
      <xdr:nvPicPr>
        <xdr:cNvPr id="2" name="Picture 1" descr="GrainSA - YouTube">
          <a:extLst>
            <a:ext uri="{FF2B5EF4-FFF2-40B4-BE49-F238E27FC236}">
              <a16:creationId xmlns:a16="http://schemas.microsoft.com/office/drawing/2014/main" id="{A9E7DF4A-72F4-4BB1-89CB-61B310142B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06117" y="112059"/>
          <a:ext cx="974237" cy="887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37</xdr:row>
      <xdr:rowOff>0</xdr:rowOff>
    </xdr:from>
    <xdr:to>
      <xdr:col>4</xdr:col>
      <xdr:colOff>30480</xdr:colOff>
      <xdr:row>55</xdr:row>
      <xdr:rowOff>53340</xdr:rowOff>
    </xdr:to>
    <xdr:graphicFrame macro="">
      <xdr:nvGraphicFramePr>
        <xdr:cNvPr id="135213" name="Chart 1">
          <a:extLst>
            <a:ext uri="{FF2B5EF4-FFF2-40B4-BE49-F238E27FC236}">
              <a16:creationId xmlns:a16="http://schemas.microsoft.com/office/drawing/2014/main" id="{28C0AC86-D0AB-31E9-B9FA-CBEF4D0E4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216723</xdr:colOff>
      <xdr:row>3</xdr:row>
      <xdr:rowOff>153072</xdr:rowOff>
    </xdr:from>
    <xdr:to>
      <xdr:col>8</xdr:col>
      <xdr:colOff>582032</xdr:colOff>
      <xdr:row>8</xdr:row>
      <xdr:rowOff>125643</xdr:rowOff>
    </xdr:to>
    <xdr:pic>
      <xdr:nvPicPr>
        <xdr:cNvPr id="2" name="Picture 1" descr="GrainSA - YouTube">
          <a:extLst>
            <a:ext uri="{FF2B5EF4-FFF2-40B4-BE49-F238E27FC236}">
              <a16:creationId xmlns:a16="http://schemas.microsoft.com/office/drawing/2014/main" id="{0928C056-6EB7-4260-8E34-6912A97F3B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18576" y="690954"/>
          <a:ext cx="970427" cy="891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Noordkaap%20besproei%20model.xlsx" TargetMode="External"/><Relationship Id="rId1" Type="http://schemas.openxmlformats.org/officeDocument/2006/relationships/externalLinkPath" Target="/sites/Bedryfsbediening/Shared%20Documents/Produksie/Produksie%20Begroting/Somer%20gewas%20streke/Somer%20modelle/2023-24/GSA-23-24%20Noordkaap%20besproei%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Bes-mielies"/>
      <sheetName val="Bes-soja (vermin bewerk)"/>
      <sheetName val="Bes-Grondbone"/>
      <sheetName val="Crop Comparison"/>
      <sheetName val="Rev meters"/>
      <sheetName val="Rent calculations"/>
    </sheetNames>
    <sheetDataSet>
      <sheetData sheetId="0"/>
      <sheetData sheetId="1">
        <row r="5">
          <cell r="B5">
            <v>3721</v>
          </cell>
        </row>
      </sheetData>
      <sheetData sheetId="2"/>
      <sheetData sheetId="3"/>
      <sheetData sheetId="4"/>
      <sheetData sheetId="5"/>
      <sheetData sheetId="6">
        <row r="20">
          <cell r="E20">
            <v>541</v>
          </cell>
        </row>
      </sheetData>
      <sheetData sheetId="7">
        <row r="20">
          <cell r="E20">
            <v>204</v>
          </cell>
        </row>
        <row r="234">
          <cell r="D234">
            <v>5890</v>
          </cell>
        </row>
      </sheetData>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7"/>
  <sheetViews>
    <sheetView zoomScale="90" zoomScaleNormal="90" workbookViewId="0">
      <selection activeCell="B2" sqref="B2"/>
    </sheetView>
  </sheetViews>
  <sheetFormatPr defaultColWidth="9.109375" defaultRowHeight="13.2" x14ac:dyDescent="0.25"/>
  <cols>
    <col min="1" max="1" width="52.44140625" style="155" customWidth="1"/>
    <col min="2" max="2" width="19.109375" style="155" bestFit="1" customWidth="1"/>
    <col min="3" max="3" width="3.33203125" style="155" customWidth="1"/>
    <col min="4" max="4" width="23.6640625" style="24" customWidth="1"/>
    <col min="5" max="12" width="10.6640625" style="24" customWidth="1"/>
    <col min="13" max="15" width="9.109375" style="24"/>
    <col min="16" max="16" width="22.6640625" style="24" customWidth="1"/>
    <col min="17" max="17" width="11.6640625" style="24" customWidth="1"/>
    <col min="18" max="26" width="9.44140625" style="24" customWidth="1"/>
    <col min="27" max="16384" width="9.109375" style="24"/>
  </cols>
  <sheetData>
    <row r="1" spans="1:26" s="156" customFormat="1" ht="28.5" customHeight="1" x14ac:dyDescent="0.4">
      <c r="A1" s="160" t="s">
        <v>49</v>
      </c>
      <c r="B1" s="168" t="s">
        <v>126</v>
      </c>
      <c r="C1" s="155"/>
      <c r="D1" s="155"/>
      <c r="E1" s="155"/>
      <c r="F1" s="155"/>
      <c r="G1" s="155"/>
      <c r="H1" s="155"/>
      <c r="I1" s="155"/>
      <c r="J1" s="155"/>
      <c r="K1" s="155"/>
      <c r="L1" s="155"/>
      <c r="M1" s="155"/>
      <c r="N1" s="155"/>
    </row>
    <row r="2" spans="1:26" s="156" customFormat="1" ht="13.5" customHeight="1" x14ac:dyDescent="0.3">
      <c r="A2" s="157" t="s">
        <v>51</v>
      </c>
      <c r="B2" s="161">
        <v>45478</v>
      </c>
      <c r="C2" s="155"/>
      <c r="D2" s="155"/>
      <c r="E2" s="155"/>
      <c r="F2" s="157"/>
      <c r="G2" s="158"/>
      <c r="H2" s="155"/>
      <c r="I2" s="155"/>
      <c r="J2" s="155"/>
      <c r="K2" s="155"/>
      <c r="L2" s="155"/>
      <c r="M2" s="155"/>
      <c r="N2" s="155"/>
    </row>
    <row r="3" spans="1:26" s="156" customFormat="1" ht="26.25" customHeight="1" x14ac:dyDescent="0.3">
      <c r="A3" s="177" t="s">
        <v>1</v>
      </c>
      <c r="B3" s="178" t="s">
        <v>2</v>
      </c>
      <c r="C3" s="155"/>
      <c r="D3" s="178" t="s">
        <v>50</v>
      </c>
      <c r="E3" s="155"/>
      <c r="F3" s="157"/>
      <c r="G3" s="158"/>
      <c r="H3" s="155"/>
      <c r="I3" s="155"/>
      <c r="J3" s="155"/>
      <c r="K3" s="155"/>
      <c r="L3" s="155"/>
    </row>
    <row r="4" spans="1:26" s="156" customFormat="1" ht="13.5" customHeight="1" x14ac:dyDescent="0.3">
      <c r="A4" s="188" t="s">
        <v>123</v>
      </c>
      <c r="B4" s="159">
        <v>3810</v>
      </c>
      <c r="C4" s="162"/>
      <c r="D4" s="159">
        <v>601</v>
      </c>
      <c r="E4" s="155"/>
      <c r="F4" s="157"/>
      <c r="G4" s="158"/>
      <c r="H4" s="155"/>
      <c r="I4" s="155"/>
      <c r="J4" s="155"/>
      <c r="K4" s="155"/>
      <c r="L4" s="155"/>
    </row>
    <row r="5" spans="1:26" s="156" customFormat="1" ht="13.5" customHeight="1" x14ac:dyDescent="0.3">
      <c r="A5" s="188" t="s">
        <v>124</v>
      </c>
      <c r="B5" s="159">
        <v>8200</v>
      </c>
      <c r="C5" s="162"/>
      <c r="D5" s="159">
        <f>'[1]Bes-soja (vermin bewerk)'!$E$20</f>
        <v>204</v>
      </c>
      <c r="E5" s="155"/>
      <c r="F5" s="157"/>
      <c r="G5" s="158"/>
      <c r="H5" s="155"/>
      <c r="I5" s="155"/>
      <c r="J5" s="155"/>
      <c r="K5" s="155"/>
      <c r="L5" s="155"/>
      <c r="M5" s="155"/>
      <c r="N5" s="155"/>
    </row>
    <row r="6" spans="1:26" s="156" customFormat="1" ht="13.5" customHeight="1" x14ac:dyDescent="0.3">
      <c r="A6" s="176" t="s">
        <v>115</v>
      </c>
      <c r="B6" s="159">
        <v>19000</v>
      </c>
      <c r="C6" s="162"/>
      <c r="D6" s="159">
        <v>63</v>
      </c>
      <c r="E6" s="155"/>
      <c r="F6" s="157"/>
      <c r="G6" s="158"/>
      <c r="H6" s="155"/>
      <c r="I6" s="155"/>
      <c r="J6" s="155"/>
      <c r="K6" s="155"/>
      <c r="L6" s="155"/>
      <c r="M6" s="155"/>
      <c r="N6" s="155"/>
    </row>
    <row r="7" spans="1:26" s="156" customFormat="1" ht="13.5" customHeight="1" x14ac:dyDescent="0.3">
      <c r="A7" s="176" t="s">
        <v>116</v>
      </c>
      <c r="B7" s="159">
        <v>17000</v>
      </c>
      <c r="C7" s="162"/>
      <c r="D7" s="159"/>
      <c r="E7" s="155"/>
      <c r="F7" s="157"/>
      <c r="G7" s="158"/>
      <c r="H7" s="155"/>
      <c r="I7" s="155"/>
      <c r="J7" s="155"/>
      <c r="K7" s="155"/>
      <c r="L7" s="155"/>
      <c r="M7" s="155"/>
      <c r="N7" s="155"/>
    </row>
    <row r="8" spans="1:26" s="156" customFormat="1" ht="13.5" customHeight="1" x14ac:dyDescent="0.3">
      <c r="A8" s="176" t="s">
        <v>103</v>
      </c>
      <c r="B8" s="159">
        <v>14500</v>
      </c>
      <c r="C8" s="162"/>
      <c r="D8" s="159"/>
      <c r="E8" s="155"/>
      <c r="F8" s="157"/>
      <c r="G8" s="158"/>
      <c r="H8" s="155"/>
      <c r="I8" s="155"/>
      <c r="J8" s="155"/>
      <c r="K8" s="155"/>
      <c r="L8" s="155"/>
      <c r="M8" s="155"/>
      <c r="N8" s="155"/>
    </row>
    <row r="9" spans="1:26" s="156" customFormat="1" ht="13.5" customHeight="1" x14ac:dyDescent="0.3">
      <c r="A9" s="176" t="s">
        <v>104</v>
      </c>
      <c r="B9" s="159">
        <v>4700</v>
      </c>
      <c r="C9" s="162"/>
      <c r="D9" s="159"/>
      <c r="E9" s="155"/>
      <c r="F9" s="157"/>
      <c r="G9" s="158"/>
      <c r="H9" s="155"/>
      <c r="I9" s="155"/>
      <c r="J9" s="155"/>
      <c r="K9" s="155"/>
      <c r="L9" s="155"/>
      <c r="M9" s="155"/>
      <c r="N9" s="155"/>
    </row>
    <row r="10" spans="1:26" s="156" customFormat="1" ht="13.5" customHeight="1" x14ac:dyDescent="0.3">
      <c r="A10" s="176" t="s">
        <v>105</v>
      </c>
      <c r="B10" s="159">
        <v>2500</v>
      </c>
      <c r="C10" s="155"/>
      <c r="D10" s="155"/>
      <c r="E10" s="155"/>
      <c r="F10" s="155"/>
      <c r="G10" s="155"/>
      <c r="H10" s="155"/>
      <c r="I10" s="155"/>
      <c r="J10" s="155"/>
      <c r="K10" s="155"/>
      <c r="L10" s="155"/>
      <c r="M10" s="155"/>
      <c r="N10" s="155"/>
    </row>
    <row r="11" spans="1:26" s="156" customFormat="1" ht="13.5" customHeight="1" x14ac:dyDescent="0.3">
      <c r="A11" s="176" t="s">
        <v>121</v>
      </c>
      <c r="B11" s="159">
        <v>1900</v>
      </c>
      <c r="C11" s="155"/>
      <c r="D11" s="155"/>
      <c r="E11" s="155"/>
      <c r="F11" s="155"/>
      <c r="G11" s="155"/>
      <c r="H11" s="155"/>
      <c r="I11" s="155"/>
      <c r="J11" s="155"/>
      <c r="K11" s="155"/>
      <c r="L11" s="155"/>
      <c r="M11" s="155"/>
      <c r="N11" s="155"/>
    </row>
    <row r="12" spans="1:26" s="25" customFormat="1" ht="13.5" customHeight="1" thickBot="1" x14ac:dyDescent="0.35">
      <c r="A12" s="241"/>
      <c r="B12" s="241"/>
      <c r="C12" s="155"/>
      <c r="D12" s="24"/>
      <c r="E12" s="24"/>
      <c r="F12" s="24"/>
      <c r="G12" s="24"/>
      <c r="H12" s="24"/>
      <c r="I12" s="24"/>
      <c r="J12" s="24"/>
      <c r="K12" s="24"/>
      <c r="L12" s="24"/>
      <c r="M12" s="24"/>
      <c r="N12" s="24"/>
    </row>
    <row r="13" spans="1:26" ht="20.25" customHeight="1" thickBot="1" x14ac:dyDescent="0.3">
      <c r="A13" s="244" t="s">
        <v>52</v>
      </c>
      <c r="B13" s="244"/>
      <c r="C13" s="163"/>
      <c r="D13" s="239" t="s">
        <v>108</v>
      </c>
      <c r="E13" s="243"/>
      <c r="F13" s="243"/>
      <c r="G13" s="243"/>
      <c r="H13" s="243"/>
      <c r="I13" s="243"/>
      <c r="J13" s="243"/>
      <c r="K13" s="243"/>
      <c r="L13" s="243"/>
      <c r="M13" s="243"/>
      <c r="N13" s="240"/>
      <c r="P13" s="239" t="s">
        <v>110</v>
      </c>
      <c r="Q13" s="243"/>
      <c r="R13" s="243"/>
      <c r="S13" s="243"/>
      <c r="T13" s="243"/>
      <c r="U13" s="243"/>
      <c r="V13" s="243"/>
      <c r="W13" s="243"/>
      <c r="X13" s="243"/>
      <c r="Y13" s="243"/>
      <c r="Z13" s="240"/>
    </row>
    <row r="14" spans="1:26" ht="13.5" customHeight="1" thickBot="1" x14ac:dyDescent="0.3">
      <c r="A14" s="172" t="s">
        <v>3</v>
      </c>
      <c r="B14" s="181">
        <f>'Crop Comparison'!B28</f>
        <v>41255.345245466677</v>
      </c>
      <c r="C14" s="164"/>
      <c r="D14" s="27"/>
      <c r="E14" s="28"/>
      <c r="F14" s="29"/>
      <c r="G14" s="30"/>
      <c r="H14" s="29"/>
      <c r="I14" s="29"/>
      <c r="J14" s="29" t="s">
        <v>4</v>
      </c>
      <c r="K14" s="31"/>
      <c r="L14" s="29"/>
      <c r="M14" s="31"/>
      <c r="N14" s="29"/>
      <c r="P14" s="27"/>
      <c r="Q14" s="28"/>
      <c r="R14" s="29"/>
      <c r="S14" s="30"/>
      <c r="T14" s="29"/>
      <c r="U14" s="29"/>
      <c r="V14" s="29" t="s">
        <v>4</v>
      </c>
      <c r="W14" s="31"/>
      <c r="X14" s="29"/>
      <c r="Y14" s="31"/>
      <c r="Z14" s="29"/>
    </row>
    <row r="15" spans="1:26" ht="13.5" customHeight="1" thickBot="1" x14ac:dyDescent="0.3">
      <c r="A15" s="172" t="s">
        <v>5</v>
      </c>
      <c r="B15" s="181">
        <f>'Crop Comparison'!B30</f>
        <v>6936.7982283884357</v>
      </c>
      <c r="C15" s="164"/>
      <c r="D15" s="239" t="s">
        <v>6</v>
      </c>
      <c r="E15" s="240"/>
      <c r="F15" s="32">
        <f>G15-250</f>
        <v>2810</v>
      </c>
      <c r="G15" s="32">
        <f>H15-250</f>
        <v>3060</v>
      </c>
      <c r="H15" s="32">
        <f>I15-250</f>
        <v>3310</v>
      </c>
      <c r="I15" s="32">
        <f>J15-250</f>
        <v>3560</v>
      </c>
      <c r="J15" s="33">
        <f>B20</f>
        <v>3810</v>
      </c>
      <c r="K15" s="32">
        <f>J15+250</f>
        <v>4060</v>
      </c>
      <c r="L15" s="32">
        <f>K15+250</f>
        <v>4310</v>
      </c>
      <c r="M15" s="32">
        <f>L15+250</f>
        <v>4560</v>
      </c>
      <c r="N15" s="32">
        <f>M15+250</f>
        <v>4810</v>
      </c>
      <c r="P15" s="239" t="s">
        <v>6</v>
      </c>
      <c r="Q15" s="240"/>
      <c r="R15" s="32">
        <f>S15-250</f>
        <v>2810</v>
      </c>
      <c r="S15" s="32">
        <f>T15-250</f>
        <v>3060</v>
      </c>
      <c r="T15" s="32">
        <f>U15-250</f>
        <v>3310</v>
      </c>
      <c r="U15" s="32">
        <f>V15-250</f>
        <v>3560</v>
      </c>
      <c r="V15" s="29">
        <f>J15</f>
        <v>3810</v>
      </c>
      <c r="W15" s="32">
        <f>V15+250</f>
        <v>4060</v>
      </c>
      <c r="X15" s="32">
        <f>W15+250</f>
        <v>4310</v>
      </c>
      <c r="Y15" s="32">
        <f>X15+250</f>
        <v>4560</v>
      </c>
      <c r="Z15" s="32">
        <f>Y15+250</f>
        <v>4810</v>
      </c>
    </row>
    <row r="16" spans="1:26" ht="13.5" customHeight="1" thickBot="1" x14ac:dyDescent="0.3">
      <c r="A16" s="173" t="s">
        <v>7</v>
      </c>
      <c r="B16" s="185">
        <f>B15+B14</f>
        <v>48192.143473855111</v>
      </c>
      <c r="C16" s="165"/>
      <c r="D16" s="237" t="s">
        <v>8</v>
      </c>
      <c r="E16" s="238"/>
      <c r="F16" s="34">
        <f t="shared" ref="F16:N16" si="0">F15-$B$21</f>
        <v>2209</v>
      </c>
      <c r="G16" s="34">
        <f t="shared" si="0"/>
        <v>2459</v>
      </c>
      <c r="H16" s="34">
        <f t="shared" si="0"/>
        <v>2709</v>
      </c>
      <c r="I16" s="34">
        <f t="shared" si="0"/>
        <v>2959</v>
      </c>
      <c r="J16" s="35">
        <f>J15-$B$21</f>
        <v>3209</v>
      </c>
      <c r="K16" s="34">
        <f t="shared" si="0"/>
        <v>3459</v>
      </c>
      <c r="L16" s="34">
        <f t="shared" si="0"/>
        <v>3709</v>
      </c>
      <c r="M16" s="34">
        <f t="shared" si="0"/>
        <v>3959</v>
      </c>
      <c r="N16" s="34">
        <f t="shared" si="0"/>
        <v>4209</v>
      </c>
      <c r="P16" s="237" t="s">
        <v>8</v>
      </c>
      <c r="Q16" s="238"/>
      <c r="R16" s="34">
        <f t="shared" ref="R16:Z16" si="1">R15-$B$21</f>
        <v>2209</v>
      </c>
      <c r="S16" s="34">
        <f t="shared" si="1"/>
        <v>2459</v>
      </c>
      <c r="T16" s="34">
        <f t="shared" si="1"/>
        <v>2709</v>
      </c>
      <c r="U16" s="34">
        <f t="shared" si="1"/>
        <v>2959</v>
      </c>
      <c r="V16" s="36">
        <f t="shared" si="1"/>
        <v>3209</v>
      </c>
      <c r="W16" s="34">
        <f t="shared" si="1"/>
        <v>3459</v>
      </c>
      <c r="X16" s="34">
        <f t="shared" si="1"/>
        <v>3709</v>
      </c>
      <c r="Y16" s="34">
        <f t="shared" si="1"/>
        <v>3959</v>
      </c>
      <c r="Z16" s="34">
        <f t="shared" si="1"/>
        <v>4209</v>
      </c>
    </row>
    <row r="17" spans="1:26" ht="13.5" customHeight="1" thickBot="1" x14ac:dyDescent="0.3">
      <c r="A17" s="172"/>
      <c r="B17" s="179"/>
      <c r="C17" s="164"/>
      <c r="D17" s="234" t="s">
        <v>9</v>
      </c>
      <c r="E17" s="37">
        <f>E18-0.5</f>
        <v>14</v>
      </c>
      <c r="F17" s="38">
        <f t="shared" ref="F17:N21" si="2">F$16-($B$16/$E17)</f>
        <v>-1233.2959624182222</v>
      </c>
      <c r="G17" s="39">
        <f t="shared" si="2"/>
        <v>-983.29596241822219</v>
      </c>
      <c r="H17" s="39">
        <f t="shared" si="2"/>
        <v>-733.29596241822219</v>
      </c>
      <c r="I17" s="39">
        <f t="shared" si="2"/>
        <v>-483.29596241822219</v>
      </c>
      <c r="J17" s="39">
        <f t="shared" si="2"/>
        <v>-233.29596241822219</v>
      </c>
      <c r="K17" s="39">
        <f t="shared" si="2"/>
        <v>16.704037581777811</v>
      </c>
      <c r="L17" s="39">
        <f t="shared" si="2"/>
        <v>266.70403758177781</v>
      </c>
      <c r="M17" s="40">
        <f t="shared" si="2"/>
        <v>516.70403758177781</v>
      </c>
      <c r="N17" s="41">
        <f t="shared" si="2"/>
        <v>766.70403758177781</v>
      </c>
      <c r="P17" s="234" t="s">
        <v>9</v>
      </c>
      <c r="Q17" s="37">
        <f>Q18-0.5</f>
        <v>14</v>
      </c>
      <c r="R17" s="38">
        <f>R$16-($B$14/$E17)</f>
        <v>-737.81037467619126</v>
      </c>
      <c r="S17" s="38">
        <f t="shared" ref="S17:Z21" si="3">S$16-($B$14/$E17)</f>
        <v>-487.81037467619126</v>
      </c>
      <c r="T17" s="38">
        <f t="shared" si="3"/>
        <v>-237.81037467619126</v>
      </c>
      <c r="U17" s="38">
        <f t="shared" si="3"/>
        <v>12.189625323808741</v>
      </c>
      <c r="V17" s="38">
        <f t="shared" si="3"/>
        <v>262.18962532380874</v>
      </c>
      <c r="W17" s="38">
        <f t="shared" si="3"/>
        <v>512.18962532380874</v>
      </c>
      <c r="X17" s="38">
        <f t="shared" si="3"/>
        <v>762.18962532380874</v>
      </c>
      <c r="Y17" s="38">
        <f t="shared" si="3"/>
        <v>1012.1896253238087</v>
      </c>
      <c r="Z17" s="38">
        <f t="shared" si="3"/>
        <v>1262.1896253238087</v>
      </c>
    </row>
    <row r="18" spans="1:26" ht="13.5" customHeight="1" thickBot="1" x14ac:dyDescent="0.3">
      <c r="A18" s="172" t="s">
        <v>10</v>
      </c>
      <c r="B18" s="180">
        <v>15</v>
      </c>
      <c r="C18" s="164"/>
      <c r="D18" s="235"/>
      <c r="E18" s="37">
        <f>E19-0.5</f>
        <v>14.5</v>
      </c>
      <c r="F18" s="42">
        <f t="shared" si="2"/>
        <v>-1114.5961016451802</v>
      </c>
      <c r="G18" s="43">
        <f t="shared" si="2"/>
        <v>-864.59610164518017</v>
      </c>
      <c r="H18" s="43">
        <f t="shared" si="2"/>
        <v>-614.59610164518017</v>
      </c>
      <c r="I18" s="43">
        <f t="shared" si="2"/>
        <v>-364.59610164518017</v>
      </c>
      <c r="J18" s="43">
        <f t="shared" si="2"/>
        <v>-114.59610164518017</v>
      </c>
      <c r="K18" s="44">
        <f t="shared" si="2"/>
        <v>135.40389835481983</v>
      </c>
      <c r="L18" s="44">
        <f t="shared" si="2"/>
        <v>385.40389835481983</v>
      </c>
      <c r="M18" s="44">
        <f t="shared" si="2"/>
        <v>635.40389835481983</v>
      </c>
      <c r="N18" s="45">
        <f t="shared" si="2"/>
        <v>885.40389835481983</v>
      </c>
      <c r="P18" s="235"/>
      <c r="Q18" s="37">
        <f>Q19-0.5</f>
        <v>14.5</v>
      </c>
      <c r="R18" s="38">
        <f>R$16-($B$14/$E18)</f>
        <v>-636.19622382528814</v>
      </c>
      <c r="S18" s="38">
        <f t="shared" si="3"/>
        <v>-386.19622382528814</v>
      </c>
      <c r="T18" s="38">
        <f t="shared" si="3"/>
        <v>-136.19622382528814</v>
      </c>
      <c r="U18" s="38">
        <f t="shared" si="3"/>
        <v>113.80377617471186</v>
      </c>
      <c r="V18" s="38">
        <f t="shared" si="3"/>
        <v>363.80377617471186</v>
      </c>
      <c r="W18" s="38">
        <f t="shared" si="3"/>
        <v>613.80377617471186</v>
      </c>
      <c r="X18" s="38">
        <f t="shared" si="3"/>
        <v>863.80377617471186</v>
      </c>
      <c r="Y18" s="38">
        <f t="shared" si="3"/>
        <v>1113.8037761747119</v>
      </c>
      <c r="Z18" s="38">
        <f t="shared" si="3"/>
        <v>1363.8037761747119</v>
      </c>
    </row>
    <row r="19" spans="1:26" ht="13.5" customHeight="1" thickBot="1" x14ac:dyDescent="0.3">
      <c r="A19" s="172"/>
      <c r="B19" s="179"/>
      <c r="C19" s="164"/>
      <c r="D19" s="235"/>
      <c r="E19" s="46">
        <f>B18</f>
        <v>15</v>
      </c>
      <c r="F19" s="42">
        <f t="shared" si="2"/>
        <v>-1003.8095649236739</v>
      </c>
      <c r="G19" s="43">
        <f>G$16-($B$16/$E19)</f>
        <v>-753.80956492367386</v>
      </c>
      <c r="H19" s="43">
        <f t="shared" si="2"/>
        <v>-503.80956492367386</v>
      </c>
      <c r="I19" s="43">
        <f t="shared" si="2"/>
        <v>-253.80956492367386</v>
      </c>
      <c r="J19" s="44">
        <f>J$16-($B$16/$E19)</f>
        <v>-3.8095649236738609</v>
      </c>
      <c r="K19" s="44">
        <f t="shared" si="2"/>
        <v>246.19043507632614</v>
      </c>
      <c r="L19" s="44">
        <f t="shared" si="2"/>
        <v>496.19043507632614</v>
      </c>
      <c r="M19" s="44">
        <f t="shared" si="2"/>
        <v>746.19043507632614</v>
      </c>
      <c r="N19" s="45">
        <f t="shared" si="2"/>
        <v>996.19043507632614</v>
      </c>
      <c r="P19" s="235"/>
      <c r="Q19" s="46">
        <f>E19</f>
        <v>15</v>
      </c>
      <c r="R19" s="38">
        <f>R$16-($B$14/$E19)</f>
        <v>-541.35634969777857</v>
      </c>
      <c r="S19" s="38">
        <f t="shared" si="3"/>
        <v>-291.35634969777857</v>
      </c>
      <c r="T19" s="38">
        <f t="shared" si="3"/>
        <v>-41.356349697778569</v>
      </c>
      <c r="U19" s="38">
        <f t="shared" si="3"/>
        <v>208.64365030222143</v>
      </c>
      <c r="V19" s="38">
        <f t="shared" si="3"/>
        <v>458.64365030222143</v>
      </c>
      <c r="W19" s="38">
        <f t="shared" si="3"/>
        <v>708.64365030222143</v>
      </c>
      <c r="X19" s="38">
        <f t="shared" si="3"/>
        <v>958.64365030222143</v>
      </c>
      <c r="Y19" s="38">
        <f t="shared" si="3"/>
        <v>1208.6436503022214</v>
      </c>
      <c r="Z19" s="38">
        <f t="shared" si="3"/>
        <v>1458.6436503022214</v>
      </c>
    </row>
    <row r="20" spans="1:26" ht="13.5" customHeight="1" thickBot="1" x14ac:dyDescent="0.3">
      <c r="A20" s="172" t="s">
        <v>117</v>
      </c>
      <c r="B20" s="181">
        <f>$B$4</f>
        <v>3810</v>
      </c>
      <c r="C20" s="164"/>
      <c r="D20" s="235"/>
      <c r="E20" s="37">
        <f>E19+0.5</f>
        <v>15.5</v>
      </c>
      <c r="F20" s="42">
        <f t="shared" si="2"/>
        <v>-900.17054670032985</v>
      </c>
      <c r="G20" s="43">
        <f t="shared" si="2"/>
        <v>-650.17054670032985</v>
      </c>
      <c r="H20" s="43">
        <f t="shared" si="2"/>
        <v>-400.17054670032985</v>
      </c>
      <c r="I20" s="44">
        <f t="shared" si="2"/>
        <v>-150.17054670032985</v>
      </c>
      <c r="J20" s="44">
        <f t="shared" si="2"/>
        <v>99.829453299670149</v>
      </c>
      <c r="K20" s="44">
        <f t="shared" si="2"/>
        <v>349.82945329967015</v>
      </c>
      <c r="L20" s="44">
        <f t="shared" si="2"/>
        <v>599.82945329967015</v>
      </c>
      <c r="M20" s="44">
        <f t="shared" si="2"/>
        <v>849.82945329967015</v>
      </c>
      <c r="N20" s="45">
        <f t="shared" si="2"/>
        <v>1099.8294532996701</v>
      </c>
      <c r="P20" s="235"/>
      <c r="Q20" s="37">
        <f>Q19+0.5</f>
        <v>15.5</v>
      </c>
      <c r="R20" s="38">
        <f>R$16-($B$14/$E20)</f>
        <v>-452.63517712688235</v>
      </c>
      <c r="S20" s="38">
        <f t="shared" si="3"/>
        <v>-202.63517712688235</v>
      </c>
      <c r="T20" s="38">
        <f t="shared" si="3"/>
        <v>47.364822873117646</v>
      </c>
      <c r="U20" s="38">
        <f t="shared" si="3"/>
        <v>297.36482287311765</v>
      </c>
      <c r="V20" s="38">
        <f t="shared" si="3"/>
        <v>547.36482287311765</v>
      </c>
      <c r="W20" s="38">
        <f t="shared" si="3"/>
        <v>797.36482287311765</v>
      </c>
      <c r="X20" s="38">
        <f t="shared" si="3"/>
        <v>1047.3648228731176</v>
      </c>
      <c r="Y20" s="38">
        <f t="shared" si="3"/>
        <v>1297.3648228731176</v>
      </c>
      <c r="Z20" s="38">
        <f t="shared" si="3"/>
        <v>1547.3648228731176</v>
      </c>
    </row>
    <row r="21" spans="1:26" ht="13.5" customHeight="1" thickBot="1" x14ac:dyDescent="0.3">
      <c r="A21" s="174" t="s">
        <v>11</v>
      </c>
      <c r="B21" s="181">
        <f>D4</f>
        <v>601</v>
      </c>
      <c r="C21" s="164"/>
      <c r="D21" s="236"/>
      <c r="E21" s="37">
        <f>E20+0.5</f>
        <v>16</v>
      </c>
      <c r="F21" s="47">
        <f t="shared" si="2"/>
        <v>-803.00896711594442</v>
      </c>
      <c r="G21" s="48">
        <f t="shared" si="2"/>
        <v>-553.00896711594442</v>
      </c>
      <c r="H21" s="49">
        <f t="shared" si="2"/>
        <v>-303.00896711594442</v>
      </c>
      <c r="I21" s="49">
        <f t="shared" si="2"/>
        <v>-53.008967115944415</v>
      </c>
      <c r="J21" s="49">
        <f t="shared" si="2"/>
        <v>196.99103288405558</v>
      </c>
      <c r="K21" s="49">
        <f t="shared" si="2"/>
        <v>446.99103288405558</v>
      </c>
      <c r="L21" s="49">
        <f t="shared" si="2"/>
        <v>696.99103288405558</v>
      </c>
      <c r="M21" s="49">
        <f t="shared" si="2"/>
        <v>946.99103288405558</v>
      </c>
      <c r="N21" s="50">
        <f>N$16-($B$16/$E21)</f>
        <v>1196.9910328840556</v>
      </c>
      <c r="P21" s="236"/>
      <c r="Q21" s="37">
        <f>Q20+0.5</f>
        <v>16</v>
      </c>
      <c r="R21" s="38">
        <f>R$16-($B$14/$E21)</f>
        <v>-369.45907784166729</v>
      </c>
      <c r="S21" s="38">
        <f>S$16-($B$14/$E21)</f>
        <v>-119.45907784166729</v>
      </c>
      <c r="T21" s="38">
        <f t="shared" si="3"/>
        <v>130.54092215833271</v>
      </c>
      <c r="U21" s="38">
        <f t="shared" si="3"/>
        <v>380.54092215833271</v>
      </c>
      <c r="V21" s="38">
        <f t="shared" si="3"/>
        <v>630.54092215833271</v>
      </c>
      <c r="W21" s="38">
        <f t="shared" si="3"/>
        <v>880.54092215833271</v>
      </c>
      <c r="X21" s="38">
        <f t="shared" si="3"/>
        <v>1130.5409221583327</v>
      </c>
      <c r="Y21" s="38">
        <f t="shared" si="3"/>
        <v>1380.5409221583327</v>
      </c>
      <c r="Z21" s="38">
        <f t="shared" si="3"/>
        <v>1630.5409221583327</v>
      </c>
    </row>
    <row r="22" spans="1:26" ht="13.5" customHeight="1" x14ac:dyDescent="0.25">
      <c r="A22" s="166" t="s">
        <v>12</v>
      </c>
      <c r="B22" s="185">
        <f>B20-B21</f>
        <v>3209</v>
      </c>
      <c r="C22" s="164"/>
      <c r="D22" s="51"/>
      <c r="E22" s="52"/>
      <c r="F22" s="53"/>
      <c r="G22" s="53"/>
      <c r="H22" s="53"/>
      <c r="I22" s="53"/>
      <c r="J22" s="53"/>
      <c r="K22" s="53"/>
      <c r="L22" s="53"/>
      <c r="P22" s="51"/>
      <c r="Q22" s="52"/>
      <c r="R22" s="53"/>
      <c r="S22" s="53"/>
      <c r="T22" s="53"/>
      <c r="U22" s="53"/>
      <c r="V22" s="53"/>
      <c r="W22" s="53"/>
      <c r="X22" s="53"/>
    </row>
    <row r="23" spans="1:26" ht="13.5" customHeight="1" x14ac:dyDescent="0.25">
      <c r="A23" s="166"/>
      <c r="B23" s="165"/>
      <c r="C23" s="164"/>
      <c r="D23" s="51"/>
      <c r="E23" s="52"/>
      <c r="F23" s="53"/>
      <c r="G23" s="53"/>
      <c r="H23" s="53"/>
      <c r="I23" s="53"/>
      <c r="J23" s="53"/>
      <c r="K23" s="53"/>
      <c r="L23" s="53"/>
      <c r="P23" s="51"/>
      <c r="Q23" s="52"/>
      <c r="R23" s="53"/>
      <c r="S23" s="53"/>
      <c r="T23" s="53"/>
      <c r="U23" s="53"/>
      <c r="V23" s="53"/>
      <c r="W23" s="53"/>
      <c r="X23" s="53"/>
    </row>
    <row r="24" spans="1:26" ht="13.5" customHeight="1" x14ac:dyDescent="0.25">
      <c r="B24" s="175"/>
      <c r="D24" s="51"/>
      <c r="E24" s="52"/>
      <c r="F24" s="53"/>
      <c r="G24" s="53"/>
      <c r="H24" s="53"/>
      <c r="I24" s="53"/>
      <c r="J24" s="53"/>
      <c r="K24" s="53"/>
      <c r="L24" s="53"/>
      <c r="P24" s="51"/>
      <c r="Q24" s="52"/>
      <c r="R24" s="53"/>
      <c r="S24" s="53"/>
      <c r="T24" s="53"/>
      <c r="U24" s="53"/>
      <c r="V24" s="53"/>
      <c r="W24" s="53"/>
      <c r="X24" s="53"/>
    </row>
    <row r="25" spans="1:26" ht="13.5" customHeight="1" thickBot="1" x14ac:dyDescent="0.3">
      <c r="A25" s="242"/>
      <c r="B25" s="242"/>
    </row>
    <row r="26" spans="1:26" ht="19.5" customHeight="1" thickBot="1" x14ac:dyDescent="0.3">
      <c r="A26" s="245" t="s">
        <v>112</v>
      </c>
      <c r="B26" s="245"/>
      <c r="C26" s="163"/>
      <c r="D26" s="239" t="s">
        <v>109</v>
      </c>
      <c r="E26" s="243"/>
      <c r="F26" s="243"/>
      <c r="G26" s="243"/>
      <c r="H26" s="243"/>
      <c r="I26" s="243"/>
      <c r="J26" s="243"/>
      <c r="K26" s="243"/>
      <c r="L26" s="243"/>
      <c r="M26" s="243"/>
      <c r="N26" s="240"/>
      <c r="P26" s="239" t="s">
        <v>111</v>
      </c>
      <c r="Q26" s="243"/>
      <c r="R26" s="243"/>
      <c r="S26" s="243"/>
      <c r="T26" s="243"/>
      <c r="U26" s="243"/>
      <c r="V26" s="243"/>
      <c r="W26" s="243"/>
      <c r="X26" s="243"/>
      <c r="Y26" s="243"/>
      <c r="Z26" s="240"/>
    </row>
    <row r="27" spans="1:26" ht="13.5" customHeight="1" thickBot="1" x14ac:dyDescent="0.3">
      <c r="A27" s="172" t="s">
        <v>3</v>
      </c>
      <c r="B27" s="181">
        <f>'Crop Comparison'!C28</f>
        <v>25663.027682500415</v>
      </c>
      <c r="C27" s="167"/>
      <c r="D27" s="27"/>
      <c r="E27" s="28"/>
      <c r="F27" s="29"/>
      <c r="G27" s="30"/>
      <c r="H27" s="29"/>
      <c r="I27" s="29"/>
      <c r="J27" s="29" t="s">
        <v>13</v>
      </c>
      <c r="K27" s="31"/>
      <c r="L27" s="29"/>
      <c r="M27" s="31"/>
      <c r="N27" s="29"/>
      <c r="P27" s="27"/>
      <c r="Q27" s="28"/>
      <c r="R27" s="29"/>
      <c r="S27" s="30"/>
      <c r="T27" s="29"/>
      <c r="U27" s="29"/>
      <c r="V27" s="29" t="s">
        <v>13</v>
      </c>
      <c r="W27" s="31"/>
      <c r="X27" s="29"/>
      <c r="Y27" s="31"/>
      <c r="Z27" s="29"/>
    </row>
    <row r="28" spans="1:26" ht="13.5" customHeight="1" thickBot="1" x14ac:dyDescent="0.3">
      <c r="A28" s="172" t="s">
        <v>5</v>
      </c>
      <c r="B28" s="181">
        <f>'Crop Comparison'!C30</f>
        <v>5890</v>
      </c>
      <c r="C28" s="167"/>
      <c r="D28" s="239" t="s">
        <v>6</v>
      </c>
      <c r="E28" s="240"/>
      <c r="F28" s="32">
        <f>G28-200</f>
        <v>7400</v>
      </c>
      <c r="G28" s="32">
        <f>H28-200</f>
        <v>7600</v>
      </c>
      <c r="H28" s="32">
        <f>I28-200</f>
        <v>7800</v>
      </c>
      <c r="I28" s="32">
        <f>J28-200</f>
        <v>8000</v>
      </c>
      <c r="J28" s="33">
        <f>B33</f>
        <v>8200</v>
      </c>
      <c r="K28" s="32">
        <f>J28+200</f>
        <v>8400</v>
      </c>
      <c r="L28" s="32">
        <f>K28+200</f>
        <v>8600</v>
      </c>
      <c r="M28" s="32">
        <f>L28+200</f>
        <v>8800</v>
      </c>
      <c r="N28" s="32">
        <f>M28+200</f>
        <v>9000</v>
      </c>
      <c r="P28" s="239" t="s">
        <v>6</v>
      </c>
      <c r="Q28" s="240"/>
      <c r="R28" s="32">
        <f>S28-200</f>
        <v>7400</v>
      </c>
      <c r="S28" s="32">
        <f>T28-200</f>
        <v>7600</v>
      </c>
      <c r="T28" s="32">
        <f>U28-200</f>
        <v>7800</v>
      </c>
      <c r="U28" s="32">
        <f>V28-200</f>
        <v>8000</v>
      </c>
      <c r="V28" s="29">
        <f>J28</f>
        <v>8200</v>
      </c>
      <c r="W28" s="32">
        <f>V28+200</f>
        <v>8400</v>
      </c>
      <c r="X28" s="32">
        <f>W28+200</f>
        <v>8600</v>
      </c>
      <c r="Y28" s="32">
        <f>X28+200</f>
        <v>8800</v>
      </c>
      <c r="Z28" s="32">
        <f>Y28+200</f>
        <v>9000</v>
      </c>
    </row>
    <row r="29" spans="1:26" ht="13.5" customHeight="1" thickBot="1" x14ac:dyDescent="0.3">
      <c r="A29" s="173" t="s">
        <v>7</v>
      </c>
      <c r="B29" s="185">
        <f>B28+B27</f>
        <v>31553.027682500415</v>
      </c>
      <c r="C29" s="168"/>
      <c r="D29" s="237" t="s">
        <v>8</v>
      </c>
      <c r="E29" s="238"/>
      <c r="F29" s="54">
        <f t="shared" ref="F29:N29" si="4">F28-$B$34</f>
        <v>7196</v>
      </c>
      <c r="G29" s="34">
        <f t="shared" si="4"/>
        <v>7396</v>
      </c>
      <c r="H29" s="34">
        <f t="shared" si="4"/>
        <v>7596</v>
      </c>
      <c r="I29" s="34">
        <f t="shared" si="4"/>
        <v>7796</v>
      </c>
      <c r="J29" s="36">
        <f t="shared" si="4"/>
        <v>7996</v>
      </c>
      <c r="K29" s="34">
        <f t="shared" si="4"/>
        <v>8196</v>
      </c>
      <c r="L29" s="34">
        <f t="shared" si="4"/>
        <v>8396</v>
      </c>
      <c r="M29" s="34">
        <f t="shared" si="4"/>
        <v>8596</v>
      </c>
      <c r="N29" s="34">
        <f t="shared" si="4"/>
        <v>8796</v>
      </c>
      <c r="P29" s="237" t="s">
        <v>8</v>
      </c>
      <c r="Q29" s="238"/>
      <c r="R29" s="34">
        <f t="shared" ref="R29:Z29" si="5">R28-$B$34</f>
        <v>7196</v>
      </c>
      <c r="S29" s="34">
        <f t="shared" si="5"/>
        <v>7396</v>
      </c>
      <c r="T29" s="34">
        <f t="shared" si="5"/>
        <v>7596</v>
      </c>
      <c r="U29" s="34">
        <f t="shared" si="5"/>
        <v>7796</v>
      </c>
      <c r="V29" s="36">
        <f t="shared" si="5"/>
        <v>7996</v>
      </c>
      <c r="W29" s="34">
        <f t="shared" si="5"/>
        <v>8196</v>
      </c>
      <c r="X29" s="34">
        <f t="shared" si="5"/>
        <v>8396</v>
      </c>
      <c r="Y29" s="34">
        <f t="shared" si="5"/>
        <v>8596</v>
      </c>
      <c r="Z29" s="34">
        <f t="shared" si="5"/>
        <v>8796</v>
      </c>
    </row>
    <row r="30" spans="1:26" ht="13.5" customHeight="1" thickBot="1" x14ac:dyDescent="0.3">
      <c r="A30" s="172"/>
      <c r="B30" s="179"/>
      <c r="C30" s="169"/>
      <c r="D30" s="234" t="s">
        <v>9</v>
      </c>
      <c r="E30" s="37">
        <f>E31-0.25</f>
        <v>3.5</v>
      </c>
      <c r="F30" s="38">
        <f>F$29-($B$29/$E30)</f>
        <v>-1819.1507664286892</v>
      </c>
      <c r="G30" s="39">
        <f t="shared" ref="F30:N34" si="6">G$29-($B$29/$E30)</f>
        <v>-1619.1507664286892</v>
      </c>
      <c r="H30" s="39">
        <f t="shared" si="6"/>
        <v>-1419.1507664286892</v>
      </c>
      <c r="I30" s="39">
        <f t="shared" si="6"/>
        <v>-1219.1507664286892</v>
      </c>
      <c r="J30" s="39">
        <f t="shared" si="6"/>
        <v>-1019.1507664286892</v>
      </c>
      <c r="K30" s="39">
        <f t="shared" si="6"/>
        <v>-819.15076642868917</v>
      </c>
      <c r="L30" s="39">
        <f t="shared" si="6"/>
        <v>-619.15076642868917</v>
      </c>
      <c r="M30" s="40">
        <f t="shared" si="6"/>
        <v>-419.15076642868917</v>
      </c>
      <c r="N30" s="41">
        <f t="shared" si="6"/>
        <v>-219.15076642868917</v>
      </c>
      <c r="P30" s="234" t="s">
        <v>9</v>
      </c>
      <c r="Q30" s="37">
        <f>Q31-0.25</f>
        <v>3.5</v>
      </c>
      <c r="R30" s="38">
        <f>R$29-($B$27/$E30)</f>
        <v>-136.29362357154696</v>
      </c>
      <c r="S30" s="38">
        <f t="shared" ref="S30:Z30" si="7">S$29-($B$27/$E30)</f>
        <v>63.706376428453041</v>
      </c>
      <c r="T30" s="38">
        <f t="shared" si="7"/>
        <v>263.70637642845304</v>
      </c>
      <c r="U30" s="38">
        <f t="shared" si="7"/>
        <v>463.70637642845304</v>
      </c>
      <c r="V30" s="38">
        <f t="shared" si="7"/>
        <v>663.70637642845304</v>
      </c>
      <c r="W30" s="38">
        <f t="shared" si="7"/>
        <v>863.70637642845304</v>
      </c>
      <c r="X30" s="38">
        <f t="shared" si="7"/>
        <v>1063.706376428453</v>
      </c>
      <c r="Y30" s="38">
        <f t="shared" si="7"/>
        <v>1263.706376428453</v>
      </c>
      <c r="Z30" s="38">
        <f t="shared" si="7"/>
        <v>1463.706376428453</v>
      </c>
    </row>
    <row r="31" spans="1:26" ht="13.5" customHeight="1" thickBot="1" x14ac:dyDescent="0.3">
      <c r="A31" s="172" t="s">
        <v>10</v>
      </c>
      <c r="B31" s="180">
        <f>'Bes-soja (vermin bewerk)'!G5</f>
        <v>4</v>
      </c>
      <c r="C31" s="170"/>
      <c r="D31" s="235"/>
      <c r="E31" s="37">
        <f>E32-0.25</f>
        <v>3.75</v>
      </c>
      <c r="F31" s="42">
        <f t="shared" si="6"/>
        <v>-1218.1407153334439</v>
      </c>
      <c r="G31" s="43">
        <f t="shared" si="6"/>
        <v>-1018.1407153334439</v>
      </c>
      <c r="H31" s="43">
        <f t="shared" si="6"/>
        <v>-818.14071533344395</v>
      </c>
      <c r="I31" s="43">
        <f t="shared" si="6"/>
        <v>-618.14071533344395</v>
      </c>
      <c r="J31" s="43">
        <f t="shared" si="6"/>
        <v>-418.14071533344395</v>
      </c>
      <c r="K31" s="44">
        <f t="shared" si="6"/>
        <v>-218.14071533344395</v>
      </c>
      <c r="L31" s="44">
        <f t="shared" si="6"/>
        <v>-18.14071533344395</v>
      </c>
      <c r="M31" s="44">
        <f t="shared" si="6"/>
        <v>181.85928466655605</v>
      </c>
      <c r="N31" s="45">
        <f t="shared" si="6"/>
        <v>381.85928466655605</v>
      </c>
      <c r="P31" s="235"/>
      <c r="Q31" s="37">
        <f>Q32-0.25</f>
        <v>3.75</v>
      </c>
      <c r="R31" s="38">
        <f t="shared" ref="R31:Z34" si="8">R$29-($B$27/$E31)</f>
        <v>352.52595133322302</v>
      </c>
      <c r="S31" s="38">
        <f t="shared" si="8"/>
        <v>552.52595133322302</v>
      </c>
      <c r="T31" s="38">
        <f t="shared" si="8"/>
        <v>752.52595133322302</v>
      </c>
      <c r="U31" s="38">
        <f t="shared" si="8"/>
        <v>952.52595133322302</v>
      </c>
      <c r="V31" s="38">
        <f t="shared" si="8"/>
        <v>1152.525951333223</v>
      </c>
      <c r="W31" s="38">
        <f t="shared" si="8"/>
        <v>1352.525951333223</v>
      </c>
      <c r="X31" s="38">
        <f t="shared" si="8"/>
        <v>1552.525951333223</v>
      </c>
      <c r="Y31" s="38">
        <f t="shared" si="8"/>
        <v>1752.525951333223</v>
      </c>
      <c r="Z31" s="38">
        <f t="shared" si="8"/>
        <v>1952.525951333223</v>
      </c>
    </row>
    <row r="32" spans="1:26" ht="13.5" customHeight="1" thickBot="1" x14ac:dyDescent="0.3">
      <c r="A32" s="172"/>
      <c r="B32" s="179"/>
      <c r="C32" s="169"/>
      <c r="D32" s="235"/>
      <c r="E32" s="46">
        <f>B31</f>
        <v>4</v>
      </c>
      <c r="F32" s="42">
        <f t="shared" si="6"/>
        <v>-692.2569206251037</v>
      </c>
      <c r="G32" s="43">
        <f t="shared" si="6"/>
        <v>-492.2569206251037</v>
      </c>
      <c r="H32" s="43">
        <f>H$29-($B$29/$E32)</f>
        <v>-292.2569206251037</v>
      </c>
      <c r="I32" s="43">
        <f t="shared" si="6"/>
        <v>-92.256920625103703</v>
      </c>
      <c r="J32" s="44">
        <f t="shared" si="6"/>
        <v>107.7430793748963</v>
      </c>
      <c r="K32" s="44">
        <f t="shared" si="6"/>
        <v>307.7430793748963</v>
      </c>
      <c r="L32" s="44">
        <f t="shared" si="6"/>
        <v>507.7430793748963</v>
      </c>
      <c r="M32" s="44">
        <f t="shared" si="6"/>
        <v>707.7430793748963</v>
      </c>
      <c r="N32" s="45">
        <f t="shared" si="6"/>
        <v>907.7430793748963</v>
      </c>
      <c r="P32" s="235"/>
      <c r="Q32" s="46">
        <f>E32</f>
        <v>4</v>
      </c>
      <c r="R32" s="38">
        <f>R$29-($B$27/$E32)</f>
        <v>780.2430793748963</v>
      </c>
      <c r="S32" s="38">
        <f t="shared" si="8"/>
        <v>980.2430793748963</v>
      </c>
      <c r="T32" s="38">
        <f t="shared" si="8"/>
        <v>1180.2430793748963</v>
      </c>
      <c r="U32" s="38">
        <f t="shared" si="8"/>
        <v>1380.2430793748963</v>
      </c>
      <c r="V32" s="38">
        <f t="shared" si="8"/>
        <v>1580.2430793748963</v>
      </c>
      <c r="W32" s="38">
        <f t="shared" si="8"/>
        <v>1780.2430793748963</v>
      </c>
      <c r="X32" s="38">
        <f t="shared" si="8"/>
        <v>1980.2430793748963</v>
      </c>
      <c r="Y32" s="38">
        <f t="shared" si="8"/>
        <v>2180.2430793748963</v>
      </c>
      <c r="Z32" s="38">
        <f t="shared" si="8"/>
        <v>2380.2430793748963</v>
      </c>
    </row>
    <row r="33" spans="1:26" ht="13.5" customHeight="1" thickBot="1" x14ac:dyDescent="0.3">
      <c r="A33" s="172" t="s">
        <v>118</v>
      </c>
      <c r="B33" s="181">
        <f>B5</f>
        <v>8200</v>
      </c>
      <c r="C33" s="169"/>
      <c r="D33" s="235"/>
      <c r="E33" s="37">
        <f>E32+0.25</f>
        <v>4.25</v>
      </c>
      <c r="F33" s="42">
        <f t="shared" si="6"/>
        <v>-228.24180764715675</v>
      </c>
      <c r="G33" s="43">
        <f t="shared" si="6"/>
        <v>-28.241807647156747</v>
      </c>
      <c r="H33" s="43">
        <f t="shared" si="6"/>
        <v>171.75819235284325</v>
      </c>
      <c r="I33" s="44">
        <f t="shared" si="6"/>
        <v>371.75819235284325</v>
      </c>
      <c r="J33" s="44">
        <f t="shared" si="6"/>
        <v>571.75819235284325</v>
      </c>
      <c r="K33" s="44">
        <f t="shared" si="6"/>
        <v>771.75819235284325</v>
      </c>
      <c r="L33" s="44">
        <f t="shared" si="6"/>
        <v>971.75819235284325</v>
      </c>
      <c r="M33" s="44">
        <f t="shared" si="6"/>
        <v>1171.7581923528433</v>
      </c>
      <c r="N33" s="45">
        <f t="shared" si="6"/>
        <v>1371.7581923528433</v>
      </c>
      <c r="P33" s="235"/>
      <c r="Q33" s="37">
        <f>Q32+0.25</f>
        <v>4.25</v>
      </c>
      <c r="R33" s="38">
        <f t="shared" si="8"/>
        <v>1157.6405452940198</v>
      </c>
      <c r="S33" s="38">
        <f t="shared" si="8"/>
        <v>1357.6405452940198</v>
      </c>
      <c r="T33" s="38">
        <f t="shared" si="8"/>
        <v>1557.6405452940198</v>
      </c>
      <c r="U33" s="38">
        <f t="shared" si="8"/>
        <v>1757.6405452940198</v>
      </c>
      <c r="V33" s="38">
        <f>V$29-($B$27/$E33)</f>
        <v>1957.6405452940198</v>
      </c>
      <c r="W33" s="38">
        <f t="shared" si="8"/>
        <v>2157.6405452940198</v>
      </c>
      <c r="X33" s="38">
        <f t="shared" si="8"/>
        <v>2357.6405452940198</v>
      </c>
      <c r="Y33" s="38">
        <f t="shared" si="8"/>
        <v>2557.6405452940198</v>
      </c>
      <c r="Z33" s="38">
        <f t="shared" si="8"/>
        <v>2757.6405452940198</v>
      </c>
    </row>
    <row r="34" spans="1:26" ht="13.5" customHeight="1" thickBot="1" x14ac:dyDescent="0.3">
      <c r="A34" s="174" t="s">
        <v>11</v>
      </c>
      <c r="B34" s="181">
        <f>D5</f>
        <v>204</v>
      </c>
      <c r="C34" s="171"/>
      <c r="D34" s="236"/>
      <c r="E34" s="37">
        <f>E33+0.25</f>
        <v>4.5</v>
      </c>
      <c r="F34" s="47">
        <f t="shared" si="6"/>
        <v>184.21607055546338</v>
      </c>
      <c r="G34" s="48">
        <f t="shared" si="6"/>
        <v>384.21607055546338</v>
      </c>
      <c r="H34" s="49">
        <f t="shared" si="6"/>
        <v>584.21607055546338</v>
      </c>
      <c r="I34" s="49">
        <f t="shared" si="6"/>
        <v>784.21607055546338</v>
      </c>
      <c r="J34" s="49">
        <f t="shared" si="6"/>
        <v>984.21607055546338</v>
      </c>
      <c r="K34" s="49">
        <f t="shared" si="6"/>
        <v>1184.2160705554634</v>
      </c>
      <c r="L34" s="49">
        <f t="shared" si="6"/>
        <v>1384.2160705554634</v>
      </c>
      <c r="M34" s="49">
        <f t="shared" si="6"/>
        <v>1584.2160705554634</v>
      </c>
      <c r="N34" s="50">
        <f t="shared" si="6"/>
        <v>1784.2160705554634</v>
      </c>
      <c r="P34" s="236"/>
      <c r="Q34" s="37">
        <f>Q33+0.25</f>
        <v>4.5</v>
      </c>
      <c r="R34" s="38">
        <f t="shared" si="8"/>
        <v>1493.1049594443521</v>
      </c>
      <c r="S34" s="38">
        <f t="shared" si="8"/>
        <v>1693.1049594443521</v>
      </c>
      <c r="T34" s="38">
        <f t="shared" si="8"/>
        <v>1893.1049594443521</v>
      </c>
      <c r="U34" s="38">
        <f t="shared" si="8"/>
        <v>2093.1049594443521</v>
      </c>
      <c r="V34" s="38">
        <f t="shared" si="8"/>
        <v>2293.1049594443521</v>
      </c>
      <c r="W34" s="38">
        <f t="shared" si="8"/>
        <v>2493.1049594443521</v>
      </c>
      <c r="X34" s="38">
        <f t="shared" si="8"/>
        <v>2693.1049594443521</v>
      </c>
      <c r="Y34" s="38">
        <f t="shared" si="8"/>
        <v>2893.1049594443521</v>
      </c>
      <c r="Z34" s="38">
        <f t="shared" si="8"/>
        <v>3093.1049594443521</v>
      </c>
    </row>
    <row r="35" spans="1:26" ht="13.5" customHeight="1" x14ac:dyDescent="0.25">
      <c r="A35" s="166" t="s">
        <v>12</v>
      </c>
      <c r="B35" s="185">
        <f>B33-B34</f>
        <v>7996</v>
      </c>
      <c r="C35" s="171"/>
    </row>
    <row r="36" spans="1:26" ht="13.5" customHeight="1" x14ac:dyDescent="0.25">
      <c r="B36" s="182"/>
    </row>
    <row r="37" spans="1:26" ht="13.5" customHeight="1" x14ac:dyDescent="0.25"/>
  </sheetData>
  <sheetProtection selectLockedCells="1"/>
  <mergeCells count="20">
    <mergeCell ref="A12:B12"/>
    <mergeCell ref="A25:B25"/>
    <mergeCell ref="D26:N26"/>
    <mergeCell ref="P26:Z26"/>
    <mergeCell ref="D17:D21"/>
    <mergeCell ref="P17:P21"/>
    <mergeCell ref="D13:N13"/>
    <mergeCell ref="P13:Z13"/>
    <mergeCell ref="D15:E15"/>
    <mergeCell ref="P15:Q15"/>
    <mergeCell ref="A13:B13"/>
    <mergeCell ref="A26:B26"/>
    <mergeCell ref="D30:D34"/>
    <mergeCell ref="P30:P34"/>
    <mergeCell ref="D16:E16"/>
    <mergeCell ref="P16:Q16"/>
    <mergeCell ref="D28:E28"/>
    <mergeCell ref="P28:Q28"/>
    <mergeCell ref="D29:E29"/>
    <mergeCell ref="P29:Q29"/>
  </mergeCells>
  <conditionalFormatting sqref="F17:N21">
    <cfRule type="cellIs" dxfId="15" priority="21" stopIfTrue="1" operator="lessThan">
      <formula>1</formula>
    </cfRule>
    <cfRule type="cellIs" dxfId="14" priority="22" stopIfTrue="1" operator="greaterThan">
      <formula>1</formula>
    </cfRule>
    <cfRule type="cellIs" dxfId="13" priority="23" stopIfTrue="1" operator="lessThan">
      <formula>1</formula>
    </cfRule>
    <cfRule type="cellIs" dxfId="12" priority="24" stopIfTrue="1" operator="greaterThan">
      <formula>1</formula>
    </cfRule>
  </conditionalFormatting>
  <conditionalFormatting sqref="F30:N34">
    <cfRule type="cellIs" dxfId="11" priority="17" stopIfTrue="1" operator="lessThan">
      <formula>1</formula>
    </cfRule>
    <cfRule type="cellIs" dxfId="10" priority="18" stopIfTrue="1" operator="greaterThan">
      <formula>1</formula>
    </cfRule>
    <cfRule type="cellIs" dxfId="9" priority="19" stopIfTrue="1" operator="lessThan">
      <formula>1</formula>
    </cfRule>
    <cfRule type="cellIs" dxfId="8" priority="20" stopIfTrue="1" operator="greaterThan">
      <formula>1</formula>
    </cfRule>
  </conditionalFormatting>
  <conditionalFormatting sqref="R17:Z21">
    <cfRule type="cellIs" dxfId="7" priority="13" stopIfTrue="1" operator="lessThan">
      <formula>1</formula>
    </cfRule>
    <cfRule type="cellIs" dxfId="6" priority="14" stopIfTrue="1" operator="greaterThan">
      <formula>1</formula>
    </cfRule>
    <cfRule type="cellIs" dxfId="5" priority="15" stopIfTrue="1" operator="lessThan">
      <formula>1</formula>
    </cfRule>
    <cfRule type="cellIs" dxfId="4" priority="16" stopIfTrue="1" operator="greaterThan">
      <formula>1</formula>
    </cfRule>
  </conditionalFormatting>
  <conditionalFormatting sqref="R30:Z34">
    <cfRule type="cellIs" dxfId="3" priority="9" stopIfTrue="1" operator="lessThan">
      <formula>1</formula>
    </cfRule>
    <cfRule type="cellIs" dxfId="2" priority="10" stopIfTrue="1" operator="greaterThan">
      <formula>1</formula>
    </cfRule>
    <cfRule type="cellIs" dxfId="1" priority="11" stopIfTrue="1" operator="lessThan">
      <formula>1</formula>
    </cfRule>
    <cfRule type="cellIs" dxfId="0" priority="12" stopIfTrue="1" operator="greaterThan">
      <formula>1</formula>
    </cfRule>
  </conditionalFormatting>
  <dataValidations count="2">
    <dataValidation type="list" allowBlank="1" showInputMessage="1" showErrorMessage="1" sqref="B18" xr:uid="{00000000-0002-0000-0000-000000000000}">
      <formula1>Opbrengspeil</formula1>
    </dataValidation>
    <dataValidation type="list" allowBlank="1" showInputMessage="1" showErrorMessage="1" sqref="B31" xr:uid="{00000000-0002-0000-0000-000001000000}">
      <formula1>Sojaopbrengspeil</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7"/>
  <sheetViews>
    <sheetView zoomScale="85" zoomScaleNormal="85" zoomScaleSheetLayoutView="90" workbookViewId="0">
      <selection activeCell="V5" sqref="V5"/>
    </sheetView>
  </sheetViews>
  <sheetFormatPr defaultColWidth="9.109375" defaultRowHeight="13.2" x14ac:dyDescent="0.25"/>
  <cols>
    <col min="1" max="1" width="43.109375" style="1" customWidth="1"/>
    <col min="2" max="2" width="12.109375" style="1" customWidth="1"/>
    <col min="3" max="3" width="11.44140625" style="1" customWidth="1"/>
    <col min="4" max="4" width="10.5546875" style="1" customWidth="1"/>
    <col min="5" max="5" width="10.109375" style="1" customWidth="1"/>
    <col min="6" max="6" width="10.6640625" style="1" customWidth="1"/>
    <col min="7" max="7" width="11.109375" style="1" customWidth="1"/>
    <col min="8" max="8" width="10.6640625" style="1" customWidth="1"/>
    <col min="9" max="9" width="11.6640625" style="1" customWidth="1"/>
    <col min="10" max="10" width="11" style="1" customWidth="1"/>
    <col min="11" max="11" width="10.6640625" style="1" hidden="1" customWidth="1"/>
    <col min="12" max="12" width="11.5546875" style="1" hidden="1" customWidth="1"/>
    <col min="13" max="21" width="12.6640625" style="1" hidden="1" customWidth="1"/>
    <col min="22" max="26" width="12.6640625" style="1" customWidth="1"/>
    <col min="27" max="37" width="9.109375" style="1" customWidth="1"/>
    <col min="38" max="16384" width="9.109375" style="1"/>
  </cols>
  <sheetData>
    <row r="1" spans="1:21" ht="33" customHeight="1" thickBot="1" x14ac:dyDescent="0.3">
      <c r="A1" s="259" t="s">
        <v>19</v>
      </c>
      <c r="B1" s="260"/>
      <c r="C1" s="260"/>
      <c r="D1" s="260"/>
      <c r="E1" s="261" t="s">
        <v>125</v>
      </c>
      <c r="F1" s="261"/>
      <c r="G1" s="261"/>
      <c r="H1" s="197"/>
      <c r="I1" s="198"/>
    </row>
    <row r="2" spans="1:21" ht="16.2" thickBot="1" x14ac:dyDescent="0.35">
      <c r="A2" s="8"/>
      <c r="B2" s="9"/>
      <c r="C2" s="10"/>
      <c r="D2" s="10"/>
      <c r="E2" s="6"/>
      <c r="F2" s="6"/>
      <c r="G2" s="6"/>
      <c r="H2" s="6"/>
      <c r="I2" s="2"/>
    </row>
    <row r="3" spans="1:21" ht="27" customHeight="1" thickBot="1" x14ac:dyDescent="0.3">
      <c r="A3" s="246" t="s">
        <v>21</v>
      </c>
      <c r="B3" s="262"/>
      <c r="C3" s="262"/>
      <c r="D3" s="189"/>
      <c r="E3" s="204">
        <f>'Pryse + Sensatiwiteitsanalise'!B22</f>
        <v>3209</v>
      </c>
      <c r="F3" s="189" t="s">
        <v>0</v>
      </c>
      <c r="G3" s="189"/>
      <c r="H3" s="190"/>
      <c r="I3" s="191"/>
    </row>
    <row r="4" spans="1:21" ht="13.8" thickBot="1" x14ac:dyDescent="0.3">
      <c r="A4" s="67"/>
      <c r="B4" s="68"/>
      <c r="C4" s="68"/>
      <c r="D4" s="22"/>
      <c r="E4" s="21"/>
      <c r="F4" s="20"/>
      <c r="G4" s="23"/>
      <c r="H4" s="19"/>
      <c r="I4" s="17"/>
    </row>
    <row r="5" spans="1:21" ht="13.8" thickBot="1" x14ac:dyDescent="0.3">
      <c r="A5" s="67" t="s">
        <v>22</v>
      </c>
      <c r="B5" s="68"/>
      <c r="C5" s="68"/>
      <c r="D5" s="18">
        <v>11</v>
      </c>
      <c r="E5" s="18">
        <v>12</v>
      </c>
      <c r="F5" s="18">
        <v>13</v>
      </c>
      <c r="G5" s="18">
        <v>14</v>
      </c>
      <c r="H5" s="18">
        <v>15</v>
      </c>
      <c r="I5" s="18">
        <v>16</v>
      </c>
    </row>
    <row r="6" spans="1:21" ht="13.8" thickBot="1" x14ac:dyDescent="0.3">
      <c r="A6" s="192" t="s">
        <v>23</v>
      </c>
      <c r="B6" s="193"/>
      <c r="C6" s="194"/>
      <c r="D6" s="195">
        <f t="shared" ref="D6:I6" si="0">$E$3*D5</f>
        <v>35299</v>
      </c>
      <c r="E6" s="195">
        <f t="shared" si="0"/>
        <v>38508</v>
      </c>
      <c r="F6" s="195">
        <f t="shared" si="0"/>
        <v>41717</v>
      </c>
      <c r="G6" s="195">
        <f t="shared" si="0"/>
        <v>44926</v>
      </c>
      <c r="H6" s="195">
        <f t="shared" si="0"/>
        <v>48135</v>
      </c>
      <c r="I6" s="195">
        <f t="shared" si="0"/>
        <v>51344</v>
      </c>
    </row>
    <row r="7" spans="1:21" ht="15" thickBot="1" x14ac:dyDescent="0.35">
      <c r="A7" s="70"/>
      <c r="B7" s="71"/>
      <c r="C7" s="71"/>
      <c r="D7" s="14"/>
      <c r="E7" s="14"/>
      <c r="F7" s="14"/>
      <c r="G7" s="14"/>
      <c r="H7" s="14"/>
      <c r="I7" s="14"/>
      <c r="S7" s="249" t="s">
        <v>53</v>
      </c>
      <c r="T7" s="249"/>
      <c r="U7" s="249"/>
    </row>
    <row r="8" spans="1:21" ht="15" thickBot="1" x14ac:dyDescent="0.35">
      <c r="A8" s="267" t="s">
        <v>24</v>
      </c>
      <c r="B8" s="268"/>
      <c r="C8" s="269"/>
      <c r="D8" s="199"/>
      <c r="E8" s="199"/>
      <c r="F8" s="199"/>
      <c r="G8" s="199"/>
      <c r="H8" s="199"/>
      <c r="I8" s="199"/>
      <c r="S8" s="77" t="s">
        <v>54</v>
      </c>
      <c r="T8" s="77" t="s">
        <v>55</v>
      </c>
      <c r="U8" s="77" t="s">
        <v>56</v>
      </c>
    </row>
    <row r="9" spans="1:21" ht="14.4" x14ac:dyDescent="0.3">
      <c r="A9" s="73" t="s">
        <v>25</v>
      </c>
      <c r="B9" s="74"/>
      <c r="C9" s="74"/>
      <c r="D9" s="113">
        <v>7580.7000000000016</v>
      </c>
      <c r="E9" s="113">
        <v>7580.7000000000016</v>
      </c>
      <c r="F9" s="113">
        <v>7580.7000000000016</v>
      </c>
      <c r="G9" s="113">
        <v>7580.7000000000016</v>
      </c>
      <c r="H9" s="113">
        <v>8001.8500000000013</v>
      </c>
      <c r="I9" s="113">
        <v>8001.8500000000013</v>
      </c>
      <c r="S9" s="78">
        <f>D5</f>
        <v>11</v>
      </c>
      <c r="T9" s="78">
        <f>D26</f>
        <v>37563.56376449285</v>
      </c>
      <c r="U9" s="78">
        <f>D28</f>
        <v>6936.7982283884357</v>
      </c>
    </row>
    <row r="10" spans="1:21" ht="14.4" x14ac:dyDescent="0.3">
      <c r="A10" s="69" t="s">
        <v>26</v>
      </c>
      <c r="B10" s="72"/>
      <c r="C10" s="72"/>
      <c r="D10" s="114">
        <v>13304</v>
      </c>
      <c r="E10" s="114">
        <v>13304</v>
      </c>
      <c r="F10" s="114">
        <v>13304</v>
      </c>
      <c r="G10" s="114">
        <v>13304</v>
      </c>
      <c r="H10" s="114">
        <v>14109.050000000001</v>
      </c>
      <c r="I10" s="114">
        <v>14109.050000000001</v>
      </c>
      <c r="S10" s="78">
        <f>E5</f>
        <v>12</v>
      </c>
      <c r="T10" s="78">
        <f>E26</f>
        <v>38272.470429462468</v>
      </c>
      <c r="U10" s="78">
        <f>E28</f>
        <v>6936.7982283884357</v>
      </c>
    </row>
    <row r="11" spans="1:21" ht="14.4" x14ac:dyDescent="0.3">
      <c r="A11" s="69" t="s">
        <v>27</v>
      </c>
      <c r="B11" s="72"/>
      <c r="C11" s="72"/>
      <c r="D11" s="114">
        <v>0</v>
      </c>
      <c r="E11" s="114">
        <v>0</v>
      </c>
      <c r="F11" s="114">
        <v>0</v>
      </c>
      <c r="G11" s="114">
        <v>0</v>
      </c>
      <c r="H11" s="114">
        <v>0</v>
      </c>
      <c r="I11" s="114">
        <v>0</v>
      </c>
      <c r="S11" s="78">
        <f>F5</f>
        <v>13</v>
      </c>
      <c r="T11" s="78">
        <f>F26</f>
        <v>39045.814820130123</v>
      </c>
      <c r="U11" s="78">
        <f>F28</f>
        <v>6936.7982283884357</v>
      </c>
    </row>
    <row r="12" spans="1:21" ht="14.4" x14ac:dyDescent="0.3">
      <c r="A12" s="69" t="s">
        <v>28</v>
      </c>
      <c r="B12" s="72"/>
      <c r="C12" s="72"/>
      <c r="D12" s="114">
        <v>1523.9340300000001</v>
      </c>
      <c r="E12" s="114">
        <v>1574.1580300000003</v>
      </c>
      <c r="F12" s="114">
        <v>1624.3820300000002</v>
      </c>
      <c r="G12" s="114">
        <v>1674.6060300000004</v>
      </c>
      <c r="H12" s="114">
        <v>1724.8300300000003</v>
      </c>
      <c r="I12" s="114">
        <v>1775.0540300000002</v>
      </c>
      <c r="S12" s="78">
        <f>G5</f>
        <v>14</v>
      </c>
      <c r="T12" s="78">
        <f>G26</f>
        <v>39174.781953817408</v>
      </c>
      <c r="U12" s="78">
        <f>G28</f>
        <v>6936.7982283884357</v>
      </c>
    </row>
    <row r="13" spans="1:21" ht="14.4" x14ac:dyDescent="0.3">
      <c r="A13" s="69" t="s">
        <v>29</v>
      </c>
      <c r="B13" s="72"/>
      <c r="C13" s="72"/>
      <c r="D13" s="114">
        <v>508.61832000000004</v>
      </c>
      <c r="E13" s="114">
        <v>515.63832000000002</v>
      </c>
      <c r="F13" s="114">
        <v>522.65832</v>
      </c>
      <c r="G13" s="114">
        <v>529.67831999999999</v>
      </c>
      <c r="H13" s="114">
        <v>536.69831999999997</v>
      </c>
      <c r="I13" s="114">
        <v>543.71831999999995</v>
      </c>
      <c r="S13" s="78">
        <f>H5</f>
        <v>15</v>
      </c>
      <c r="T13" s="78">
        <f>H26</f>
        <v>41255.345245466677</v>
      </c>
      <c r="U13" s="78">
        <f>H28</f>
        <v>6936.7982283884357</v>
      </c>
    </row>
    <row r="14" spans="1:21" ht="14.4" x14ac:dyDescent="0.3">
      <c r="A14" s="69" t="s">
        <v>30</v>
      </c>
      <c r="B14" s="72"/>
      <c r="C14" s="72"/>
      <c r="D14" s="114">
        <v>824.68</v>
      </c>
      <c r="E14" s="114">
        <v>824.68</v>
      </c>
      <c r="F14" s="114">
        <v>824.68</v>
      </c>
      <c r="G14" s="114">
        <v>824.68</v>
      </c>
      <c r="H14" s="114">
        <v>824.68</v>
      </c>
      <c r="I14" s="114">
        <v>824.68</v>
      </c>
      <c r="S14" s="78">
        <f>I5</f>
        <v>16</v>
      </c>
      <c r="T14" s="78">
        <f>I26</f>
        <v>42093.127361832368</v>
      </c>
      <c r="U14" s="78">
        <f>I28</f>
        <v>6936.7982283884357</v>
      </c>
    </row>
    <row r="15" spans="1:21" x14ac:dyDescent="0.25">
      <c r="A15" s="69" t="s">
        <v>31</v>
      </c>
      <c r="B15" s="72"/>
      <c r="C15" s="72"/>
      <c r="D15" s="114">
        <v>3552.1400000000003</v>
      </c>
      <c r="E15" s="114">
        <v>3552.1400000000003</v>
      </c>
      <c r="F15" s="114">
        <v>3552.1400000000003</v>
      </c>
      <c r="G15" s="114">
        <v>3552.1400000000003</v>
      </c>
      <c r="H15" s="114">
        <v>3552.1400000000003</v>
      </c>
      <c r="I15" s="114">
        <v>3552.1400000000003</v>
      </c>
    </row>
    <row r="16" spans="1:21" x14ac:dyDescent="0.25">
      <c r="A16" s="69" t="s">
        <v>32</v>
      </c>
      <c r="B16" s="72"/>
      <c r="C16" s="72"/>
      <c r="D16" s="114">
        <v>0</v>
      </c>
      <c r="E16" s="114">
        <v>0</v>
      </c>
      <c r="F16" s="114">
        <v>0</v>
      </c>
      <c r="G16" s="114">
        <v>0</v>
      </c>
      <c r="H16" s="114">
        <v>0</v>
      </c>
      <c r="I16" s="114">
        <v>0</v>
      </c>
    </row>
    <row r="17" spans="1:10" x14ac:dyDescent="0.25">
      <c r="A17" s="69" t="s">
        <v>33</v>
      </c>
      <c r="B17" s="72"/>
      <c r="C17" s="72"/>
      <c r="D17" s="114">
        <v>5700.9639999999999</v>
      </c>
      <c r="E17" s="114">
        <v>6244.96</v>
      </c>
      <c r="F17" s="114">
        <v>6849.4</v>
      </c>
      <c r="G17" s="114">
        <v>6849.4</v>
      </c>
      <c r="H17" s="114">
        <v>7453.84</v>
      </c>
      <c r="I17" s="114">
        <v>8118.724000000002</v>
      </c>
    </row>
    <row r="18" spans="1:10" x14ac:dyDescent="0.25">
      <c r="A18" s="69" t="s">
        <v>34</v>
      </c>
      <c r="B18" s="72"/>
      <c r="C18" s="72"/>
      <c r="D18" s="114"/>
      <c r="E18" s="114"/>
      <c r="F18" s="114"/>
      <c r="G18" s="114"/>
      <c r="H18" s="114"/>
      <c r="I18" s="114"/>
    </row>
    <row r="19" spans="1:10" x14ac:dyDescent="0.25">
      <c r="A19" s="69" t="s">
        <v>35</v>
      </c>
      <c r="B19" s="72"/>
      <c r="C19" s="72"/>
      <c r="D19" s="114">
        <v>1100</v>
      </c>
      <c r="E19" s="114">
        <v>1100</v>
      </c>
      <c r="F19" s="114">
        <v>1100</v>
      </c>
      <c r="G19" s="114">
        <v>1100</v>
      </c>
      <c r="H19" s="114">
        <v>1100</v>
      </c>
      <c r="I19" s="114">
        <v>1100</v>
      </c>
    </row>
    <row r="20" spans="1:10" x14ac:dyDescent="0.25">
      <c r="A20" s="69" t="s">
        <v>36</v>
      </c>
      <c r="B20" s="72"/>
      <c r="C20" s="72"/>
      <c r="D20" s="114">
        <v>701.02999999999986</v>
      </c>
      <c r="E20" s="114">
        <v>764.75999999999988</v>
      </c>
      <c r="F20" s="114">
        <v>828.4899999999999</v>
      </c>
      <c r="G20" s="114">
        <v>892.21999999999991</v>
      </c>
      <c r="H20" s="114">
        <v>955.94999999999982</v>
      </c>
      <c r="I20" s="114">
        <v>1019.6799999999998</v>
      </c>
    </row>
    <row r="21" spans="1:10" x14ac:dyDescent="0.25">
      <c r="A21" s="69" t="s">
        <v>37</v>
      </c>
      <c r="B21" s="72"/>
      <c r="C21" s="72"/>
      <c r="D21" s="114">
        <v>500</v>
      </c>
      <c r="E21" s="114">
        <v>500</v>
      </c>
      <c r="F21" s="114">
        <v>500</v>
      </c>
      <c r="G21" s="114">
        <v>500</v>
      </c>
      <c r="H21" s="114">
        <v>500</v>
      </c>
      <c r="I21" s="114">
        <v>500</v>
      </c>
    </row>
    <row r="22" spans="1:10" s="7" customFormat="1" x14ac:dyDescent="0.25">
      <c r="A22" s="69" t="s">
        <v>38</v>
      </c>
      <c r="B22" s="72"/>
      <c r="C22" s="72"/>
      <c r="D22" s="114">
        <v>0</v>
      </c>
      <c r="E22" s="114">
        <v>0</v>
      </c>
      <c r="F22" s="114">
        <v>0</v>
      </c>
      <c r="G22" s="114">
        <v>0</v>
      </c>
      <c r="H22" s="114">
        <v>0</v>
      </c>
      <c r="I22" s="114">
        <v>0</v>
      </c>
      <c r="J22" s="1"/>
    </row>
    <row r="23" spans="1:10" s="7" customFormat="1" x14ac:dyDescent="0.25">
      <c r="A23" s="69" t="s">
        <v>39</v>
      </c>
      <c r="B23" s="72"/>
      <c r="C23" s="72"/>
      <c r="D23" s="114">
        <v>0</v>
      </c>
      <c r="E23" s="114">
        <v>0</v>
      </c>
      <c r="F23" s="114">
        <v>0</v>
      </c>
      <c r="G23" s="114">
        <v>0</v>
      </c>
      <c r="H23" s="114">
        <v>0</v>
      </c>
      <c r="I23" s="114">
        <v>0</v>
      </c>
      <c r="J23" s="1"/>
    </row>
    <row r="24" spans="1:10" s="7" customFormat="1" x14ac:dyDescent="0.25">
      <c r="A24" s="69" t="s">
        <v>40</v>
      </c>
      <c r="B24" s="72"/>
      <c r="C24" s="72"/>
      <c r="D24" s="114">
        <v>0</v>
      </c>
      <c r="E24" s="114">
        <v>0</v>
      </c>
      <c r="F24" s="114">
        <v>0</v>
      </c>
      <c r="G24" s="114">
        <v>0</v>
      </c>
      <c r="H24" s="114">
        <v>0</v>
      </c>
      <c r="I24" s="114">
        <v>0</v>
      </c>
      <c r="J24" s="1"/>
    </row>
    <row r="25" spans="1:10" s="7" customFormat="1" ht="13.8" thickBot="1" x14ac:dyDescent="0.3">
      <c r="A25" s="69" t="s">
        <v>41</v>
      </c>
      <c r="B25" s="72"/>
      <c r="C25" s="72"/>
      <c r="D25" s="114">
        <v>2267.4974144928524</v>
      </c>
      <c r="E25" s="114">
        <v>2311.4340794624691</v>
      </c>
      <c r="F25" s="114">
        <v>2359.3644701301218</v>
      </c>
      <c r="G25" s="114">
        <v>2367.3576038174078</v>
      </c>
      <c r="H25" s="114">
        <v>2496.3068954666751</v>
      </c>
      <c r="I25" s="114">
        <v>2548.2310118323662</v>
      </c>
      <c r="J25" s="1"/>
    </row>
    <row r="26" spans="1:10" s="7" customFormat="1" ht="26.25" customHeight="1" thickBot="1" x14ac:dyDescent="0.3">
      <c r="A26" s="246" t="s">
        <v>42</v>
      </c>
      <c r="B26" s="247"/>
      <c r="C26" s="248"/>
      <c r="D26" s="196">
        <f t="shared" ref="D26:I26" si="1">SUM(D9:D25)</f>
        <v>37563.56376449285</v>
      </c>
      <c r="E26" s="196">
        <f t="shared" si="1"/>
        <v>38272.470429462468</v>
      </c>
      <c r="F26" s="196">
        <f>SUM(F9:F25)</f>
        <v>39045.814820130123</v>
      </c>
      <c r="G26" s="196">
        <f>SUM(G9:G25)</f>
        <v>39174.781953817408</v>
      </c>
      <c r="H26" s="196">
        <f t="shared" si="1"/>
        <v>41255.345245466677</v>
      </c>
      <c r="I26" s="196">
        <f t="shared" si="1"/>
        <v>42093.127361832368</v>
      </c>
      <c r="J26" s="1"/>
    </row>
    <row r="27" spans="1:10" s="7" customFormat="1" ht="13.8" thickBot="1" x14ac:dyDescent="0.3">
      <c r="A27" s="75"/>
      <c r="B27" s="76"/>
      <c r="C27" s="76"/>
      <c r="D27" s="15"/>
      <c r="E27" s="15"/>
      <c r="F27" s="15"/>
      <c r="G27" s="15"/>
      <c r="H27" s="15"/>
      <c r="I27" s="15"/>
      <c r="J27" s="1"/>
    </row>
    <row r="28" spans="1:10" s="99" customFormat="1" ht="13.8" thickBot="1" x14ac:dyDescent="0.3">
      <c r="A28" s="270" t="s">
        <v>43</v>
      </c>
      <c r="B28" s="271"/>
      <c r="C28" s="272"/>
      <c r="D28" s="196">
        <v>6936.7982283884357</v>
      </c>
      <c r="E28" s="196">
        <v>6936.7982283884357</v>
      </c>
      <c r="F28" s="196">
        <v>6936.7982283884357</v>
      </c>
      <c r="G28" s="196">
        <v>6936.7982283884357</v>
      </c>
      <c r="H28" s="196">
        <v>6936.7982283884357</v>
      </c>
      <c r="I28" s="196">
        <v>6936.7982283884357</v>
      </c>
      <c r="J28" s="100"/>
    </row>
    <row r="29" spans="1:10" ht="13.8" thickBot="1" x14ac:dyDescent="0.3">
      <c r="A29" s="75"/>
      <c r="B29" s="76"/>
      <c r="C29" s="76"/>
      <c r="D29" s="15"/>
      <c r="E29" s="15"/>
      <c r="F29" s="15"/>
      <c r="G29" s="15"/>
      <c r="H29" s="15"/>
      <c r="I29" s="15"/>
    </row>
    <row r="30" spans="1:10" ht="26.25" customHeight="1" thickBot="1" x14ac:dyDescent="0.3">
      <c r="A30" s="246" t="s">
        <v>44</v>
      </c>
      <c r="B30" s="247"/>
      <c r="C30" s="248"/>
      <c r="D30" s="196">
        <f t="shared" ref="D30:I30" si="2">D26+D28</f>
        <v>44500.361992881284</v>
      </c>
      <c r="E30" s="196">
        <f t="shared" si="2"/>
        <v>45209.268657850902</v>
      </c>
      <c r="F30" s="196">
        <f t="shared" si="2"/>
        <v>45982.613048518557</v>
      </c>
      <c r="G30" s="196">
        <f t="shared" si="2"/>
        <v>46111.580182205842</v>
      </c>
      <c r="H30" s="196">
        <f t="shared" si="2"/>
        <v>48192.143473855111</v>
      </c>
      <c r="I30" s="196">
        <f t="shared" si="2"/>
        <v>49029.925590220802</v>
      </c>
    </row>
    <row r="31" spans="1:10" ht="13.8" thickBot="1" x14ac:dyDescent="0.3">
      <c r="A31" s="70"/>
      <c r="B31" s="71"/>
      <c r="C31" s="71"/>
      <c r="D31" s="16"/>
      <c r="E31" s="16"/>
      <c r="F31" s="16"/>
      <c r="G31" s="16"/>
      <c r="H31" s="16"/>
      <c r="I31" s="16"/>
    </row>
    <row r="32" spans="1:10" ht="27" customHeight="1" thickBot="1" x14ac:dyDescent="0.3">
      <c r="A32" s="246" t="s">
        <v>45</v>
      </c>
      <c r="B32" s="262"/>
      <c r="C32" s="263"/>
      <c r="D32" s="196">
        <f t="shared" ref="D32:I32" si="3">D30/D5</f>
        <v>4045.4874538982986</v>
      </c>
      <c r="E32" s="196">
        <f t="shared" si="3"/>
        <v>3767.4390548209085</v>
      </c>
      <c r="F32" s="196">
        <f t="shared" si="3"/>
        <v>3537.1240806552737</v>
      </c>
      <c r="G32" s="196">
        <f t="shared" si="3"/>
        <v>3293.6842987289888</v>
      </c>
      <c r="H32" s="196">
        <f t="shared" si="3"/>
        <v>3212.8095649236739</v>
      </c>
      <c r="I32" s="196">
        <f t="shared" si="3"/>
        <v>3064.3703493888002</v>
      </c>
    </row>
    <row r="33" spans="1:10" ht="13.8" thickBot="1" x14ac:dyDescent="0.3">
      <c r="A33" s="70"/>
      <c r="B33" s="71"/>
      <c r="C33" s="71"/>
      <c r="D33" s="16"/>
      <c r="E33" s="16"/>
      <c r="F33" s="16"/>
      <c r="G33" s="16"/>
      <c r="H33" s="16"/>
      <c r="I33" s="16"/>
    </row>
    <row r="34" spans="1:10" ht="13.8" thickBot="1" x14ac:dyDescent="0.3">
      <c r="A34" s="192" t="s">
        <v>46</v>
      </c>
      <c r="B34" s="193"/>
      <c r="C34" s="193"/>
      <c r="D34" s="196">
        <f>'Pryse + Sensatiwiteitsanalise'!D4</f>
        <v>601</v>
      </c>
      <c r="E34" s="196">
        <f>$D$34</f>
        <v>601</v>
      </c>
      <c r="F34" s="196">
        <f>$D$34</f>
        <v>601</v>
      </c>
      <c r="G34" s="196">
        <f>$D$34</f>
        <v>601</v>
      </c>
      <c r="H34" s="196">
        <f>$D$34</f>
        <v>601</v>
      </c>
      <c r="I34" s="196">
        <f>$D$34</f>
        <v>601</v>
      </c>
    </row>
    <row r="35" spans="1:10" ht="13.8" thickBot="1" x14ac:dyDescent="0.3">
      <c r="A35" s="70"/>
      <c r="B35" s="71"/>
      <c r="C35" s="71"/>
      <c r="D35" s="16"/>
      <c r="E35" s="16"/>
      <c r="F35" s="16"/>
      <c r="G35" s="16"/>
      <c r="H35" s="16"/>
      <c r="I35" s="16"/>
    </row>
    <row r="36" spans="1:10" ht="13.8" thickBot="1" x14ac:dyDescent="0.3">
      <c r="A36" s="264" t="s">
        <v>47</v>
      </c>
      <c r="B36" s="265"/>
      <c r="C36" s="266"/>
      <c r="D36" s="200">
        <f t="shared" ref="D36:I36" si="4">D32+D34</f>
        <v>4646.4874538982986</v>
      </c>
      <c r="E36" s="200">
        <f t="shared" si="4"/>
        <v>4368.4390548209085</v>
      </c>
      <c r="F36" s="200">
        <f t="shared" si="4"/>
        <v>4138.1240806552742</v>
      </c>
      <c r="G36" s="200">
        <f t="shared" si="4"/>
        <v>3894.6842987289888</v>
      </c>
      <c r="H36" s="200">
        <f t="shared" si="4"/>
        <v>3813.8095649236739</v>
      </c>
      <c r="I36" s="200">
        <f t="shared" si="4"/>
        <v>3665.3703493888002</v>
      </c>
    </row>
    <row r="37" spans="1:10" ht="13.8" thickBot="1" x14ac:dyDescent="0.3">
      <c r="A37" s="201" t="s">
        <v>48</v>
      </c>
      <c r="B37" s="202"/>
      <c r="C37" s="203"/>
      <c r="D37" s="200">
        <f>'Pryse + Sensatiwiteitsanalise'!B4</f>
        <v>3810</v>
      </c>
      <c r="E37" s="200">
        <f>$D$37</f>
        <v>3810</v>
      </c>
      <c r="F37" s="200">
        <f>$D$37</f>
        <v>3810</v>
      </c>
      <c r="G37" s="200">
        <f>$D$37</f>
        <v>3810</v>
      </c>
      <c r="H37" s="200">
        <f>$D$37</f>
        <v>3810</v>
      </c>
      <c r="I37" s="200">
        <f>$D$37</f>
        <v>3810</v>
      </c>
    </row>
    <row r="38" spans="1:10" ht="13.8" thickBot="1" x14ac:dyDescent="0.3"/>
    <row r="39" spans="1:10" customFormat="1" ht="14.4" x14ac:dyDescent="0.3">
      <c r="A39" s="273" t="s">
        <v>119</v>
      </c>
      <c r="B39" s="274"/>
      <c r="C39" s="275"/>
      <c r="D39" s="186">
        <f>D6-D26</f>
        <v>-2264.5637644928502</v>
      </c>
      <c r="E39" s="186">
        <f>E6-E26</f>
        <v>235.52957053753198</v>
      </c>
      <c r="F39" s="186">
        <f>F6-F26</f>
        <v>2671.1851798698772</v>
      </c>
      <c r="G39" s="186">
        <f t="shared" ref="G39:I39" si="5">G6-G26</f>
        <v>5751.2180461825919</v>
      </c>
      <c r="H39" s="186">
        <f t="shared" si="5"/>
        <v>6879.6547545333233</v>
      </c>
      <c r="I39" s="186">
        <f t="shared" si="5"/>
        <v>9250.8726381676315</v>
      </c>
    </row>
    <row r="40" spans="1:10" customFormat="1" ht="15" thickBot="1" x14ac:dyDescent="0.35">
      <c r="A40" s="276" t="s">
        <v>120</v>
      </c>
      <c r="B40" s="277"/>
      <c r="C40" s="278"/>
      <c r="D40" s="187">
        <f>D6-D30</f>
        <v>-9201.3619928812841</v>
      </c>
      <c r="E40" s="187">
        <f>E6-E30</f>
        <v>-6701.2686578509019</v>
      </c>
      <c r="F40" s="187">
        <f>F6-F30</f>
        <v>-4265.6130485185568</v>
      </c>
      <c r="G40" s="187">
        <f t="shared" ref="G40:I40" si="6">G6-G30</f>
        <v>-1185.580182205842</v>
      </c>
      <c r="H40" s="187">
        <f t="shared" si="6"/>
        <v>-57.143473855110642</v>
      </c>
      <c r="I40" s="187">
        <f t="shared" si="6"/>
        <v>2314.0744097791976</v>
      </c>
    </row>
    <row r="41" spans="1:10" ht="13.8" x14ac:dyDescent="0.25">
      <c r="A41" s="57" t="s">
        <v>18</v>
      </c>
      <c r="B41" s="59"/>
      <c r="C41" s="59"/>
      <c r="D41" s="59"/>
      <c r="E41" s="59"/>
      <c r="F41" s="59"/>
      <c r="G41" s="59"/>
      <c r="H41" s="60"/>
      <c r="I41" s="26"/>
      <c r="J41" s="26"/>
    </row>
    <row r="42" spans="1:10" ht="13.8" x14ac:dyDescent="0.25">
      <c r="A42" s="56" t="s">
        <v>15</v>
      </c>
      <c r="B42" s="62"/>
      <c r="C42" s="62"/>
      <c r="D42" s="62"/>
      <c r="E42" s="62"/>
      <c r="F42" s="62"/>
      <c r="G42" s="62"/>
      <c r="H42" s="63"/>
      <c r="I42" s="26"/>
      <c r="J42" s="26"/>
    </row>
    <row r="43" spans="1:10" ht="14.4" thickBot="1" x14ac:dyDescent="0.3">
      <c r="A43" s="55" t="s">
        <v>16</v>
      </c>
      <c r="B43" s="65"/>
      <c r="C43" s="65"/>
      <c r="D43" s="65"/>
      <c r="E43" s="65"/>
      <c r="F43" s="65"/>
      <c r="G43" s="65"/>
      <c r="H43" s="66"/>
      <c r="I43" s="26"/>
      <c r="J43" s="26"/>
    </row>
    <row r="44" spans="1:10" x14ac:dyDescent="0.25">
      <c r="A44" s="250" t="s">
        <v>17</v>
      </c>
      <c r="B44" s="251"/>
      <c r="C44" s="251"/>
      <c r="D44" s="251"/>
      <c r="E44" s="251"/>
      <c r="F44" s="251"/>
      <c r="G44" s="251"/>
      <c r="H44" s="252"/>
      <c r="I44"/>
      <c r="J44"/>
    </row>
    <row r="45" spans="1:10" x14ac:dyDescent="0.25">
      <c r="A45" s="253"/>
      <c r="B45" s="254"/>
      <c r="C45" s="254"/>
      <c r="D45" s="254"/>
      <c r="E45" s="254"/>
      <c r="F45" s="254"/>
      <c r="G45" s="254"/>
      <c r="H45" s="255"/>
      <c r="I45"/>
      <c r="J45"/>
    </row>
    <row r="46" spans="1:10" x14ac:dyDescent="0.25">
      <c r="A46" s="253"/>
      <c r="B46" s="254"/>
      <c r="C46" s="254"/>
      <c r="D46" s="254"/>
      <c r="E46" s="254"/>
      <c r="F46" s="254"/>
      <c r="G46" s="254"/>
      <c r="H46" s="255"/>
      <c r="I46"/>
      <c r="J46"/>
    </row>
    <row r="47" spans="1:10" ht="13.8" thickBot="1" x14ac:dyDescent="0.3">
      <c r="A47" s="256"/>
      <c r="B47" s="257"/>
      <c r="C47" s="257"/>
      <c r="D47" s="257"/>
      <c r="E47" s="257"/>
      <c r="F47" s="257"/>
      <c r="G47" s="257"/>
      <c r="H47" s="258"/>
      <c r="I47"/>
      <c r="J47"/>
    </row>
  </sheetData>
  <mergeCells count="13">
    <mergeCell ref="A30:C30"/>
    <mergeCell ref="S7:U7"/>
    <mergeCell ref="A44:H47"/>
    <mergeCell ref="A1:D1"/>
    <mergeCell ref="E1:G1"/>
    <mergeCell ref="A32:C32"/>
    <mergeCell ref="A36:C36"/>
    <mergeCell ref="A3:C3"/>
    <mergeCell ref="A8:C8"/>
    <mergeCell ref="A26:C26"/>
    <mergeCell ref="A28:C28"/>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scale="77" fitToHeight="0" orientation="portrait" r:id="rId1"/>
  <headerFooter alignWithMargins="0">
    <oddHeader>&amp;F</oddHeader>
    <oddFooter>&amp;A&amp;RPage &amp;P</oddFooter>
  </headerFooter>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3"/>
  <sheetViews>
    <sheetView zoomScale="70" zoomScaleNormal="70" zoomScaleSheetLayoutView="70" workbookViewId="0">
      <selection activeCell="V16" sqref="V16"/>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1" width="12.6640625" style="1" hidden="1" customWidth="1"/>
    <col min="22" max="26" width="12.6640625" style="1" customWidth="1"/>
    <col min="27" max="16384" width="9.109375" style="1"/>
  </cols>
  <sheetData>
    <row r="1" spans="1:21" ht="33" customHeight="1" thickBot="1" x14ac:dyDescent="0.3">
      <c r="A1" s="259" t="s">
        <v>20</v>
      </c>
      <c r="B1" s="260"/>
      <c r="C1" s="260"/>
      <c r="D1" s="260"/>
      <c r="E1" s="261" t="s">
        <v>125</v>
      </c>
      <c r="F1" s="261"/>
      <c r="G1" s="261"/>
      <c r="H1" s="197"/>
      <c r="I1" s="198"/>
    </row>
    <row r="2" spans="1:21" ht="16.2" thickBot="1" x14ac:dyDescent="0.35">
      <c r="A2" s="8"/>
      <c r="B2" s="9"/>
      <c r="C2" s="10"/>
      <c r="D2" s="10"/>
      <c r="E2" s="6"/>
      <c r="F2" s="6"/>
      <c r="G2" s="6"/>
      <c r="H2" s="6"/>
      <c r="I2" s="2"/>
    </row>
    <row r="3" spans="1:21" ht="27" customHeight="1" thickBot="1" x14ac:dyDescent="0.3">
      <c r="A3" s="246" t="s">
        <v>21</v>
      </c>
      <c r="B3" s="262"/>
      <c r="C3" s="262"/>
      <c r="D3" s="205"/>
      <c r="E3" s="208">
        <f>'Pryse + Sensatiwiteitsanalise'!B35</f>
        <v>7996</v>
      </c>
      <c r="F3" s="205" t="s">
        <v>0</v>
      </c>
      <c r="G3" s="206"/>
      <c r="H3" s="206"/>
      <c r="I3" s="207"/>
    </row>
    <row r="4" spans="1:21" ht="13.8" thickBot="1" x14ac:dyDescent="0.3">
      <c r="A4" s="67"/>
      <c r="B4" s="68"/>
      <c r="C4" s="68"/>
      <c r="D4" s="3"/>
      <c r="E4" s="5"/>
      <c r="F4" s="11"/>
      <c r="G4" s="4"/>
      <c r="H4" s="12"/>
      <c r="I4" s="12"/>
    </row>
    <row r="5" spans="1:21" ht="13.8" thickBot="1" x14ac:dyDescent="0.3">
      <c r="A5" s="67" t="s">
        <v>22</v>
      </c>
      <c r="B5" s="68"/>
      <c r="C5" s="68"/>
      <c r="D5" s="13">
        <v>2.5</v>
      </c>
      <c r="E5" s="13">
        <v>3</v>
      </c>
      <c r="F5" s="13">
        <v>3.5</v>
      </c>
      <c r="G5" s="13">
        <v>4</v>
      </c>
      <c r="H5" s="13">
        <v>4.5</v>
      </c>
      <c r="I5" s="13">
        <v>5</v>
      </c>
    </row>
    <row r="6" spans="1:21" ht="13.8" thickBot="1" x14ac:dyDescent="0.3">
      <c r="A6" s="192" t="s">
        <v>23</v>
      </c>
      <c r="B6" s="193"/>
      <c r="C6" s="194"/>
      <c r="D6" s="195">
        <f t="shared" ref="D6:I6" si="0">$E$3*D5</f>
        <v>19990</v>
      </c>
      <c r="E6" s="195">
        <f t="shared" si="0"/>
        <v>23988</v>
      </c>
      <c r="F6" s="195">
        <f t="shared" si="0"/>
        <v>27986</v>
      </c>
      <c r="G6" s="195">
        <f t="shared" si="0"/>
        <v>31984</v>
      </c>
      <c r="H6" s="195">
        <f t="shared" si="0"/>
        <v>35982</v>
      </c>
      <c r="I6" s="195">
        <f t="shared" si="0"/>
        <v>39980</v>
      </c>
    </row>
    <row r="7" spans="1:21" ht="15" thickBot="1" x14ac:dyDescent="0.35">
      <c r="A7" s="70"/>
      <c r="B7" s="71"/>
      <c r="C7" s="71"/>
      <c r="D7" s="14"/>
      <c r="E7" s="14"/>
      <c r="F7" s="14"/>
      <c r="G7" s="14"/>
      <c r="H7" s="14"/>
      <c r="I7" s="14"/>
      <c r="S7" s="249" t="s">
        <v>57</v>
      </c>
      <c r="T7" s="249"/>
      <c r="U7" s="249"/>
    </row>
    <row r="8" spans="1:21" ht="15" thickBot="1" x14ac:dyDescent="0.35">
      <c r="A8" s="267" t="s">
        <v>24</v>
      </c>
      <c r="B8" s="268"/>
      <c r="C8" s="269"/>
      <c r="D8" s="199"/>
      <c r="E8" s="199"/>
      <c r="F8" s="199"/>
      <c r="G8" s="199"/>
      <c r="H8" s="199"/>
      <c r="I8" s="199"/>
      <c r="S8" s="77" t="s">
        <v>54</v>
      </c>
      <c r="T8" s="77" t="s">
        <v>55</v>
      </c>
      <c r="U8" s="77" t="s">
        <v>56</v>
      </c>
    </row>
    <row r="9" spans="1:21" ht="14.4" x14ac:dyDescent="0.3">
      <c r="A9" s="73" t="s">
        <v>25</v>
      </c>
      <c r="B9" s="74"/>
      <c r="C9" s="74"/>
      <c r="D9" s="115">
        <v>2674.94</v>
      </c>
      <c r="E9" s="115">
        <v>2674.94</v>
      </c>
      <c r="F9" s="115">
        <v>2674.94</v>
      </c>
      <c r="G9" s="115">
        <v>2674.94</v>
      </c>
      <c r="H9" s="115">
        <v>2842.136</v>
      </c>
      <c r="I9" s="115">
        <v>3009.3320000000003</v>
      </c>
      <c r="S9" s="78">
        <f>D5</f>
        <v>2.5</v>
      </c>
      <c r="T9" s="78">
        <f>D26</f>
        <v>20968.164051113188</v>
      </c>
      <c r="U9" s="78">
        <f>D28</f>
        <v>5890</v>
      </c>
    </row>
    <row r="10" spans="1:21" ht="14.4" x14ac:dyDescent="0.3">
      <c r="A10" s="69" t="s">
        <v>26</v>
      </c>
      <c r="B10" s="72"/>
      <c r="C10" s="72"/>
      <c r="D10" s="116">
        <v>5185.5</v>
      </c>
      <c r="E10" s="116">
        <v>6002.6</v>
      </c>
      <c r="F10" s="116">
        <v>6819.7</v>
      </c>
      <c r="G10" s="116">
        <v>7636.8</v>
      </c>
      <c r="H10" s="116">
        <v>8453.9</v>
      </c>
      <c r="I10" s="116">
        <v>9271</v>
      </c>
      <c r="S10" s="78">
        <f>E5</f>
        <v>3</v>
      </c>
      <c r="T10" s="78">
        <f>E26</f>
        <v>22704.245869766361</v>
      </c>
      <c r="U10" s="78">
        <f>E28</f>
        <v>5890</v>
      </c>
    </row>
    <row r="11" spans="1:21" ht="14.4" x14ac:dyDescent="0.3">
      <c r="A11" s="69" t="s">
        <v>27</v>
      </c>
      <c r="B11" s="72"/>
      <c r="C11" s="72"/>
      <c r="D11" s="116">
        <v>0</v>
      </c>
      <c r="E11" s="116">
        <v>0</v>
      </c>
      <c r="F11" s="116">
        <v>0</v>
      </c>
      <c r="G11" s="116">
        <v>0</v>
      </c>
      <c r="H11" s="116">
        <v>0</v>
      </c>
      <c r="I11" s="116">
        <v>0</v>
      </c>
      <c r="S11" s="78">
        <f>F5</f>
        <v>3.5</v>
      </c>
      <c r="T11" s="78">
        <f>F26</f>
        <v>24504.500416491064</v>
      </c>
      <c r="U11" s="78">
        <f>F28</f>
        <v>5890</v>
      </c>
    </row>
    <row r="12" spans="1:21" ht="14.4" x14ac:dyDescent="0.3">
      <c r="A12" s="69" t="s">
        <v>28</v>
      </c>
      <c r="B12" s="72"/>
      <c r="C12" s="72"/>
      <c r="D12" s="116">
        <v>905.76162000000011</v>
      </c>
      <c r="E12" s="116">
        <v>936.71362000000011</v>
      </c>
      <c r="F12" s="116">
        <v>967.6656200000001</v>
      </c>
      <c r="G12" s="116">
        <v>998.6176200000001</v>
      </c>
      <c r="H12" s="116">
        <v>1029.5696200000002</v>
      </c>
      <c r="I12" s="116">
        <v>1060.52162</v>
      </c>
      <c r="S12" s="78">
        <f>G5</f>
        <v>4</v>
      </c>
      <c r="T12" s="78">
        <f>G26</f>
        <v>25663.027682500415</v>
      </c>
      <c r="U12" s="78">
        <f>G28</f>
        <v>5890</v>
      </c>
    </row>
    <row r="13" spans="1:21" ht="14.4" x14ac:dyDescent="0.3">
      <c r="A13" s="69" t="s">
        <v>29</v>
      </c>
      <c r="B13" s="72"/>
      <c r="C13" s="72"/>
      <c r="D13" s="116">
        <v>319.91395</v>
      </c>
      <c r="E13" s="116">
        <v>323.19350000000003</v>
      </c>
      <c r="F13" s="116">
        <v>326.47305</v>
      </c>
      <c r="G13" s="116">
        <v>329.75260000000003</v>
      </c>
      <c r="H13" s="116">
        <v>333.03215</v>
      </c>
      <c r="I13" s="116">
        <v>336.31170000000003</v>
      </c>
      <c r="S13" s="78">
        <f>H5</f>
        <v>4.5</v>
      </c>
      <c r="T13" s="78">
        <f>H26</f>
        <v>27640.792378167091</v>
      </c>
      <c r="U13" s="78">
        <f>H28</f>
        <v>5890</v>
      </c>
    </row>
    <row r="14" spans="1:21" ht="14.4" x14ac:dyDescent="0.3">
      <c r="A14" s="69" t="s">
        <v>30</v>
      </c>
      <c r="B14" s="72"/>
      <c r="C14" s="72"/>
      <c r="D14" s="116">
        <v>631.65</v>
      </c>
      <c r="E14" s="116">
        <v>631.65</v>
      </c>
      <c r="F14" s="116">
        <v>631.65</v>
      </c>
      <c r="G14" s="116">
        <v>631.65</v>
      </c>
      <c r="H14" s="116">
        <v>631.65</v>
      </c>
      <c r="I14" s="116">
        <v>1263.3</v>
      </c>
      <c r="S14" s="78">
        <f>I5</f>
        <v>5</v>
      </c>
      <c r="T14" s="78">
        <f>I26</f>
        <v>30353.34563948034</v>
      </c>
      <c r="U14" s="78">
        <f>I28</f>
        <v>5890</v>
      </c>
    </row>
    <row r="15" spans="1:21" x14ac:dyDescent="0.25">
      <c r="A15" s="69" t="s">
        <v>31</v>
      </c>
      <c r="B15" s="72"/>
      <c r="C15" s="72"/>
      <c r="D15" s="116">
        <v>1950.8590000000002</v>
      </c>
      <c r="E15" s="116">
        <v>1950.8590000000002</v>
      </c>
      <c r="F15" s="116">
        <v>1950.8590000000002</v>
      </c>
      <c r="G15" s="116">
        <v>1950.8590000000002</v>
      </c>
      <c r="H15" s="116">
        <v>1950.8590000000002</v>
      </c>
      <c r="I15" s="116">
        <v>1950.8590000000002</v>
      </c>
    </row>
    <row r="16" spans="1:21" x14ac:dyDescent="0.25">
      <c r="A16" s="69" t="s">
        <v>32</v>
      </c>
      <c r="B16" s="72"/>
      <c r="C16" s="72"/>
      <c r="D16" s="116">
        <v>0</v>
      </c>
      <c r="E16" s="116">
        <v>0</v>
      </c>
      <c r="F16" s="116">
        <v>0</v>
      </c>
      <c r="G16" s="116">
        <v>0</v>
      </c>
      <c r="H16" s="116">
        <v>0</v>
      </c>
      <c r="I16" s="116">
        <v>0</v>
      </c>
    </row>
    <row r="17" spans="1:10" x14ac:dyDescent="0.25">
      <c r="A17" s="69" t="s">
        <v>33</v>
      </c>
      <c r="B17" s="72"/>
      <c r="C17" s="72"/>
      <c r="D17" s="116">
        <v>5700.9639999999999</v>
      </c>
      <c r="E17" s="116">
        <v>6244.96</v>
      </c>
      <c r="F17" s="116">
        <v>6849.4</v>
      </c>
      <c r="G17" s="116">
        <v>6849.4</v>
      </c>
      <c r="H17" s="116">
        <v>7453.84</v>
      </c>
      <c r="I17" s="116">
        <v>8118.724000000002</v>
      </c>
    </row>
    <row r="18" spans="1:10" x14ac:dyDescent="0.25">
      <c r="A18" s="69" t="s">
        <v>34</v>
      </c>
      <c r="B18" s="72"/>
      <c r="C18" s="72"/>
      <c r="D18" s="116"/>
      <c r="E18" s="116"/>
      <c r="F18" s="116"/>
      <c r="G18" s="116"/>
      <c r="H18" s="116"/>
      <c r="I18" s="116"/>
    </row>
    <row r="19" spans="1:10" x14ac:dyDescent="0.25">
      <c r="A19" s="69" t="s">
        <v>35</v>
      </c>
      <c r="B19" s="72"/>
      <c r="C19" s="72"/>
      <c r="D19" s="116">
        <v>1250</v>
      </c>
      <c r="E19" s="116">
        <v>1250</v>
      </c>
      <c r="F19" s="116">
        <v>1250</v>
      </c>
      <c r="G19" s="116">
        <v>1250</v>
      </c>
      <c r="H19" s="116">
        <v>1250</v>
      </c>
      <c r="I19" s="116">
        <v>1250</v>
      </c>
    </row>
    <row r="20" spans="1:10" x14ac:dyDescent="0.25">
      <c r="A20" s="69" t="s">
        <v>36</v>
      </c>
      <c r="B20" s="72"/>
      <c r="C20" s="72"/>
      <c r="D20" s="116">
        <v>1199.3999999999999</v>
      </c>
      <c r="E20" s="116">
        <v>1439.28</v>
      </c>
      <c r="F20" s="116">
        <v>1679.1599999999999</v>
      </c>
      <c r="G20" s="116">
        <v>1919.04</v>
      </c>
      <c r="H20" s="116">
        <v>2158.92</v>
      </c>
      <c r="I20" s="116">
        <v>2398.7999999999997</v>
      </c>
    </row>
    <row r="21" spans="1:10" x14ac:dyDescent="0.25">
      <c r="A21" s="69" t="s">
        <v>37</v>
      </c>
      <c r="B21" s="72"/>
      <c r="C21" s="72"/>
      <c r="D21" s="116">
        <v>0</v>
      </c>
      <c r="E21" s="116">
        <v>0</v>
      </c>
      <c r="F21" s="116">
        <v>0</v>
      </c>
      <c r="G21" s="116">
        <v>0</v>
      </c>
      <c r="H21" s="116">
        <v>0</v>
      </c>
      <c r="I21" s="116">
        <v>0</v>
      </c>
    </row>
    <row r="22" spans="1:10" s="7" customFormat="1" x14ac:dyDescent="0.25">
      <c r="A22" s="69" t="s">
        <v>38</v>
      </c>
      <c r="B22" s="72"/>
      <c r="C22" s="72"/>
      <c r="D22" s="116">
        <v>0</v>
      </c>
      <c r="E22" s="116">
        <v>0</v>
      </c>
      <c r="F22" s="116">
        <v>0</v>
      </c>
      <c r="G22" s="116">
        <v>0</v>
      </c>
      <c r="H22" s="116">
        <v>0</v>
      </c>
      <c r="I22" s="116">
        <v>0</v>
      </c>
      <c r="J22" s="1"/>
    </row>
    <row r="23" spans="1:10" s="7" customFormat="1" x14ac:dyDescent="0.25">
      <c r="A23" s="69" t="s">
        <v>39</v>
      </c>
      <c r="B23" s="72"/>
      <c r="C23" s="72"/>
      <c r="D23" s="116">
        <v>0</v>
      </c>
      <c r="E23" s="116">
        <v>0</v>
      </c>
      <c r="F23" s="116">
        <v>0</v>
      </c>
      <c r="G23" s="116">
        <v>0</v>
      </c>
      <c r="H23" s="116">
        <v>0</v>
      </c>
      <c r="I23" s="116">
        <v>0</v>
      </c>
      <c r="J23" s="1"/>
    </row>
    <row r="24" spans="1:10" s="7" customFormat="1" x14ac:dyDescent="0.25">
      <c r="A24" s="69" t="s">
        <v>40</v>
      </c>
      <c r="B24" s="72"/>
      <c r="C24" s="72"/>
      <c r="D24" s="116">
        <v>0</v>
      </c>
      <c r="E24" s="116">
        <v>0</v>
      </c>
      <c r="F24" s="116">
        <v>0</v>
      </c>
      <c r="G24" s="116">
        <v>0</v>
      </c>
      <c r="H24" s="116">
        <v>0</v>
      </c>
      <c r="I24" s="116">
        <v>0</v>
      </c>
      <c r="J24" s="1"/>
    </row>
    <row r="25" spans="1:10" s="7" customFormat="1" ht="13.8" thickBot="1" x14ac:dyDescent="0.3">
      <c r="A25" s="69" t="s">
        <v>41</v>
      </c>
      <c r="B25" s="72"/>
      <c r="C25" s="72"/>
      <c r="D25" s="116">
        <v>1149.175481113188</v>
      </c>
      <c r="E25" s="116">
        <v>1250.0497497663582</v>
      </c>
      <c r="F25" s="116">
        <v>1354.6527464910641</v>
      </c>
      <c r="G25" s="116">
        <v>1421.9684625004127</v>
      </c>
      <c r="H25" s="116">
        <v>1536.8856081670899</v>
      </c>
      <c r="I25" s="116">
        <v>1694.4973194803399</v>
      </c>
      <c r="J25" s="1"/>
    </row>
    <row r="26" spans="1:10" s="7" customFormat="1" ht="26.25" customHeight="1" thickBot="1" x14ac:dyDescent="0.3">
      <c r="A26" s="246" t="s">
        <v>42</v>
      </c>
      <c r="B26" s="247"/>
      <c r="C26" s="248"/>
      <c r="D26" s="196">
        <f t="shared" ref="D26:I26" si="1">SUM(D9:D25)</f>
        <v>20968.164051113188</v>
      </c>
      <c r="E26" s="196">
        <f t="shared" si="1"/>
        <v>22704.245869766361</v>
      </c>
      <c r="F26" s="196">
        <f t="shared" si="1"/>
        <v>24504.500416491064</v>
      </c>
      <c r="G26" s="196">
        <f t="shared" si="1"/>
        <v>25663.027682500415</v>
      </c>
      <c r="H26" s="196">
        <f t="shared" si="1"/>
        <v>27640.792378167091</v>
      </c>
      <c r="I26" s="196">
        <f t="shared" si="1"/>
        <v>30353.34563948034</v>
      </c>
      <c r="J26" s="1"/>
    </row>
    <row r="27" spans="1:10" s="7" customFormat="1" ht="13.8" thickBot="1" x14ac:dyDescent="0.3">
      <c r="A27" s="75"/>
      <c r="B27" s="76"/>
      <c r="C27" s="76"/>
      <c r="D27" s="15"/>
      <c r="E27" s="15"/>
      <c r="F27" s="15"/>
      <c r="G27" s="15"/>
      <c r="H27" s="15"/>
      <c r="I27" s="15"/>
      <c r="J27" s="1"/>
    </row>
    <row r="28" spans="1:10" s="99" customFormat="1" ht="13.8" thickBot="1" x14ac:dyDescent="0.3">
      <c r="A28" s="270" t="s">
        <v>43</v>
      </c>
      <c r="B28" s="271"/>
      <c r="C28" s="272"/>
      <c r="D28" s="196">
        <f>'[1]Bes-soja (vermin bewerk)'!$D$234</f>
        <v>5890</v>
      </c>
      <c r="E28" s="196">
        <f>'[1]Bes-soja (vermin bewerk)'!$D$234</f>
        <v>5890</v>
      </c>
      <c r="F28" s="196">
        <f>'[1]Bes-soja (vermin bewerk)'!$D$234</f>
        <v>5890</v>
      </c>
      <c r="G28" s="196">
        <f>'[1]Bes-soja (vermin bewerk)'!$D$234</f>
        <v>5890</v>
      </c>
      <c r="H28" s="196">
        <f>'[1]Bes-soja (vermin bewerk)'!$D$234</f>
        <v>5890</v>
      </c>
      <c r="I28" s="196">
        <f>'[1]Bes-soja (vermin bewerk)'!$D$234</f>
        <v>5890</v>
      </c>
      <c r="J28" s="100"/>
    </row>
    <row r="29" spans="1:10" ht="13.8" thickBot="1" x14ac:dyDescent="0.3">
      <c r="A29" s="75"/>
      <c r="B29" s="76"/>
      <c r="C29" s="76"/>
      <c r="D29" s="15"/>
      <c r="E29" s="15"/>
      <c r="F29" s="15"/>
      <c r="G29" s="15"/>
      <c r="H29" s="15"/>
      <c r="I29" s="15"/>
    </row>
    <row r="30" spans="1:10" ht="26.25" customHeight="1" thickBot="1" x14ac:dyDescent="0.3">
      <c r="A30" s="246" t="s">
        <v>44</v>
      </c>
      <c r="B30" s="247"/>
      <c r="C30" s="248"/>
      <c r="D30" s="196">
        <f>D26+D28</f>
        <v>26858.164051113188</v>
      </c>
      <c r="E30" s="196">
        <f t="shared" ref="E30:I30" si="2">E26+E28</f>
        <v>28594.245869766361</v>
      </c>
      <c r="F30" s="196">
        <f t="shared" si="2"/>
        <v>30394.500416491064</v>
      </c>
      <c r="G30" s="196">
        <f t="shared" si="2"/>
        <v>31553.027682500415</v>
      </c>
      <c r="H30" s="196">
        <f t="shared" si="2"/>
        <v>33530.792378167091</v>
      </c>
      <c r="I30" s="196">
        <f t="shared" si="2"/>
        <v>36243.345639480336</v>
      </c>
    </row>
    <row r="31" spans="1:10" ht="13.8" thickBot="1" x14ac:dyDescent="0.3">
      <c r="A31" s="70"/>
      <c r="B31" s="71"/>
      <c r="C31" s="71"/>
      <c r="D31" s="16"/>
      <c r="E31" s="16"/>
      <c r="F31" s="16"/>
      <c r="G31" s="16"/>
      <c r="H31" s="16"/>
      <c r="I31" s="16"/>
    </row>
    <row r="32" spans="1:10" ht="27" customHeight="1" thickBot="1" x14ac:dyDescent="0.3">
      <c r="A32" s="246" t="s">
        <v>45</v>
      </c>
      <c r="B32" s="262"/>
      <c r="C32" s="263"/>
      <c r="D32" s="196">
        <f t="shared" ref="D32:I32" si="3">D30/D5</f>
        <v>10743.265620445276</v>
      </c>
      <c r="E32" s="196">
        <f t="shared" si="3"/>
        <v>9531.4152899221208</v>
      </c>
      <c r="F32" s="196">
        <f t="shared" si="3"/>
        <v>8684.1429761403033</v>
      </c>
      <c r="G32" s="196">
        <f t="shared" si="3"/>
        <v>7888.2569206251037</v>
      </c>
      <c r="H32" s="196">
        <f t="shared" si="3"/>
        <v>7451.2871951482421</v>
      </c>
      <c r="I32" s="196">
        <f t="shared" si="3"/>
        <v>7248.669127896067</v>
      </c>
    </row>
    <row r="33" spans="1:10" ht="13.8" thickBot="1" x14ac:dyDescent="0.3">
      <c r="A33" s="70"/>
      <c r="B33" s="71"/>
      <c r="C33" s="71"/>
      <c r="D33" s="16"/>
      <c r="E33" s="16"/>
      <c r="F33" s="16"/>
      <c r="G33" s="16"/>
      <c r="H33" s="16"/>
      <c r="I33" s="16"/>
    </row>
    <row r="34" spans="1:10" ht="13.8" thickBot="1" x14ac:dyDescent="0.3">
      <c r="A34" s="192" t="s">
        <v>46</v>
      </c>
      <c r="B34" s="193"/>
      <c r="C34" s="193"/>
      <c r="D34" s="196">
        <f>'Pryse + Sensatiwiteitsanalise'!D5</f>
        <v>204</v>
      </c>
      <c r="E34" s="196">
        <f>D34</f>
        <v>204</v>
      </c>
      <c r="F34" s="196">
        <f t="shared" ref="F34:I34" si="4">E34</f>
        <v>204</v>
      </c>
      <c r="G34" s="196">
        <f t="shared" si="4"/>
        <v>204</v>
      </c>
      <c r="H34" s="196">
        <f t="shared" si="4"/>
        <v>204</v>
      </c>
      <c r="I34" s="196">
        <f t="shared" si="4"/>
        <v>204</v>
      </c>
    </row>
    <row r="35" spans="1:10" ht="13.8" thickBot="1" x14ac:dyDescent="0.3">
      <c r="A35" s="70"/>
      <c r="B35" s="71"/>
      <c r="C35" s="71"/>
      <c r="D35" s="16"/>
      <c r="E35" s="16"/>
      <c r="F35" s="16"/>
      <c r="G35" s="16"/>
      <c r="H35" s="16"/>
      <c r="I35" s="16"/>
    </row>
    <row r="36" spans="1:10" ht="13.8" thickBot="1" x14ac:dyDescent="0.3">
      <c r="A36" s="264" t="s">
        <v>47</v>
      </c>
      <c r="B36" s="265"/>
      <c r="C36" s="266"/>
      <c r="D36" s="200">
        <f t="shared" ref="D36:I36" si="5">D32+D34</f>
        <v>10947.265620445276</v>
      </c>
      <c r="E36" s="200">
        <f t="shared" si="5"/>
        <v>9735.4152899221208</v>
      </c>
      <c r="F36" s="200">
        <f t="shared" si="5"/>
        <v>8888.1429761403033</v>
      </c>
      <c r="G36" s="200">
        <f t="shared" si="5"/>
        <v>8092.2569206251037</v>
      </c>
      <c r="H36" s="200">
        <f t="shared" si="5"/>
        <v>7655.2871951482421</v>
      </c>
      <c r="I36" s="200">
        <f t="shared" si="5"/>
        <v>7452.669127896067</v>
      </c>
    </row>
    <row r="37" spans="1:10" ht="13.8" thickBot="1" x14ac:dyDescent="0.3">
      <c r="A37" s="201" t="s">
        <v>48</v>
      </c>
      <c r="B37" s="202"/>
      <c r="C37" s="203"/>
      <c r="D37" s="200">
        <f>'Pryse + Sensatiwiteitsanalise'!B5</f>
        <v>8200</v>
      </c>
      <c r="E37" s="200">
        <f>$D$37</f>
        <v>8200</v>
      </c>
      <c r="F37" s="200">
        <f>$D$37</f>
        <v>8200</v>
      </c>
      <c r="G37" s="200">
        <f>$D$37</f>
        <v>8200</v>
      </c>
      <c r="H37" s="200">
        <f>$D$37</f>
        <v>8200</v>
      </c>
      <c r="I37" s="200">
        <f>$D$37</f>
        <v>8200</v>
      </c>
    </row>
    <row r="38" spans="1:10" ht="13.8" thickBot="1" x14ac:dyDescent="0.3"/>
    <row r="39" spans="1:10" customFormat="1" ht="14.4" x14ac:dyDescent="0.3">
      <c r="A39" s="273" t="s">
        <v>119</v>
      </c>
      <c r="B39" s="274"/>
      <c r="C39" s="275"/>
      <c r="D39" s="186">
        <f>D6-D26</f>
        <v>-978.16405111318818</v>
      </c>
      <c r="E39" s="186">
        <f>E6-E26</f>
        <v>1283.7541302336394</v>
      </c>
      <c r="F39" s="186">
        <f>F6-F26</f>
        <v>3481.4995835089358</v>
      </c>
      <c r="G39" s="186">
        <f t="shared" ref="G39:I39" si="6">G6-G26</f>
        <v>6320.9723174995852</v>
      </c>
      <c r="H39" s="186">
        <f t="shared" si="6"/>
        <v>8341.2076218329094</v>
      </c>
      <c r="I39" s="186">
        <f t="shared" si="6"/>
        <v>9626.6543605196603</v>
      </c>
    </row>
    <row r="40" spans="1:10" customFormat="1" ht="15" thickBot="1" x14ac:dyDescent="0.35">
      <c r="A40" s="276" t="s">
        <v>120</v>
      </c>
      <c r="B40" s="277"/>
      <c r="C40" s="278"/>
      <c r="D40" s="187">
        <f>D6-D30</f>
        <v>-6868.1640511131882</v>
      </c>
      <c r="E40" s="187">
        <f>E6-E30</f>
        <v>-4606.2458697663606</v>
      </c>
      <c r="F40" s="187">
        <f>F6-F30</f>
        <v>-2408.5004164910642</v>
      </c>
      <c r="G40" s="187">
        <f t="shared" ref="G40:I40" si="7">G6-G30</f>
        <v>430.97231749958519</v>
      </c>
      <c r="H40" s="187">
        <f t="shared" si="7"/>
        <v>2451.2076218329094</v>
      </c>
      <c r="I40" s="187">
        <f t="shared" si="7"/>
        <v>3736.6543605196639</v>
      </c>
    </row>
    <row r="41" spans="1:10" ht="14.4" x14ac:dyDescent="0.25">
      <c r="A41" s="58" t="s">
        <v>14</v>
      </c>
      <c r="B41" s="59"/>
      <c r="C41" s="59"/>
      <c r="D41" s="59"/>
      <c r="E41" s="59"/>
      <c r="F41" s="59"/>
      <c r="G41" s="59"/>
      <c r="H41" s="60"/>
      <c r="I41" s="26"/>
      <c r="J41" s="26"/>
    </row>
    <row r="42" spans="1:10" ht="14.4" x14ac:dyDescent="0.25">
      <c r="A42" s="61" t="s">
        <v>15</v>
      </c>
      <c r="B42" s="62"/>
      <c r="C42" s="62"/>
      <c r="D42" s="62"/>
      <c r="E42" s="62"/>
      <c r="F42" s="62"/>
      <c r="G42" s="62"/>
      <c r="H42" s="63"/>
      <c r="I42" s="26"/>
      <c r="J42" s="26"/>
    </row>
    <row r="43" spans="1:10" ht="15" thickBot="1" x14ac:dyDescent="0.3">
      <c r="A43" s="64" t="s">
        <v>16</v>
      </c>
      <c r="B43" s="65"/>
      <c r="C43" s="65"/>
      <c r="D43" s="65"/>
      <c r="E43" s="65"/>
      <c r="F43" s="65"/>
      <c r="G43" s="65"/>
      <c r="H43" s="66"/>
      <c r="I43" s="26"/>
      <c r="J43" s="26"/>
    </row>
  </sheetData>
  <mergeCells count="12">
    <mergeCell ref="A39:C39"/>
    <mergeCell ref="A40:C40"/>
    <mergeCell ref="S7:U7"/>
    <mergeCell ref="A1:D1"/>
    <mergeCell ref="E1:G1"/>
    <mergeCell ref="A32:C32"/>
    <mergeCell ref="A36:C36"/>
    <mergeCell ref="A3:C3"/>
    <mergeCell ref="A8:C8"/>
    <mergeCell ref="A26:C26"/>
    <mergeCell ref="A28:C28"/>
    <mergeCell ref="A30:C3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scale="64" fitToHeight="0" orientation="portrait" r:id="rId1"/>
  <headerFooter>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
  <sheetViews>
    <sheetView zoomScale="85" zoomScaleNormal="85" workbookViewId="0">
      <selection activeCell="K6" sqref="K6"/>
    </sheetView>
  </sheetViews>
  <sheetFormatPr defaultRowHeight="13.2" x14ac:dyDescent="0.25"/>
  <cols>
    <col min="1" max="1" width="54" customWidth="1"/>
    <col min="4" max="4" width="21.6640625" customWidth="1"/>
    <col min="5" max="5" width="11" customWidth="1"/>
  </cols>
  <sheetData>
    <row r="1" spans="1:11" ht="33.75" customHeight="1" thickBot="1" x14ac:dyDescent="0.3">
      <c r="A1" s="259" t="s">
        <v>107</v>
      </c>
      <c r="B1" s="260"/>
      <c r="C1" s="260"/>
      <c r="D1" s="260"/>
      <c r="E1" s="279" t="s">
        <v>125</v>
      </c>
      <c r="F1" s="279"/>
      <c r="G1" s="279"/>
      <c r="H1" s="209"/>
      <c r="I1" s="210"/>
      <c r="J1" s="89"/>
      <c r="K1" s="89"/>
    </row>
    <row r="2" spans="1:11" ht="16.2" thickBot="1" x14ac:dyDescent="0.35">
      <c r="A2" s="79"/>
      <c r="B2" s="91"/>
      <c r="C2" s="110"/>
      <c r="D2" s="110"/>
      <c r="E2" s="94"/>
      <c r="F2" s="90"/>
      <c r="G2" s="90"/>
      <c r="H2" s="90"/>
      <c r="I2" s="94"/>
      <c r="J2" s="89"/>
      <c r="K2" s="26"/>
    </row>
    <row r="3" spans="1:11" ht="27" thickBot="1" x14ac:dyDescent="0.3">
      <c r="A3" s="213" t="s">
        <v>92</v>
      </c>
      <c r="B3" s="214"/>
      <c r="C3" s="214"/>
      <c r="D3" s="215" t="s">
        <v>93</v>
      </c>
      <c r="E3" s="216" t="s">
        <v>94</v>
      </c>
      <c r="F3" s="214"/>
      <c r="G3" s="214"/>
      <c r="H3" s="214"/>
      <c r="I3" s="214"/>
      <c r="J3" s="89"/>
      <c r="K3" s="89"/>
    </row>
    <row r="4" spans="1:11" x14ac:dyDescent="0.25">
      <c r="A4" s="125" t="s">
        <v>113</v>
      </c>
      <c r="B4" s="126"/>
      <c r="C4" s="126"/>
      <c r="D4" s="127">
        <f>'Pryse + Sensatiwiteitsanalise'!B6-D41</f>
        <v>18937</v>
      </c>
      <c r="E4" s="128">
        <v>0.5</v>
      </c>
      <c r="F4" s="127"/>
      <c r="G4" s="127"/>
      <c r="H4" s="127"/>
      <c r="I4" s="129"/>
      <c r="J4" s="89"/>
      <c r="K4" s="89"/>
    </row>
    <row r="5" spans="1:11" x14ac:dyDescent="0.25">
      <c r="A5" s="125" t="s">
        <v>114</v>
      </c>
      <c r="B5" s="126"/>
      <c r="C5" s="126"/>
      <c r="D5" s="127">
        <f>'Pryse + Sensatiwiteitsanalise'!B7-D42</f>
        <v>17000</v>
      </c>
      <c r="E5" s="128">
        <v>0.16</v>
      </c>
      <c r="F5" s="127"/>
      <c r="G5" s="127"/>
      <c r="H5" s="127"/>
      <c r="I5" s="129"/>
      <c r="J5" s="89"/>
      <c r="K5" s="89"/>
    </row>
    <row r="6" spans="1:11" x14ac:dyDescent="0.25">
      <c r="A6" s="125" t="s">
        <v>95</v>
      </c>
      <c r="B6" s="126"/>
      <c r="C6" s="126"/>
      <c r="D6" s="127">
        <f>'Pryse + Sensatiwiteitsanalise'!B8</f>
        <v>14500</v>
      </c>
      <c r="E6" s="128">
        <v>0.18</v>
      </c>
      <c r="F6" s="127"/>
      <c r="G6" s="127"/>
      <c r="H6" s="127"/>
      <c r="I6" s="129"/>
      <c r="J6" s="89"/>
      <c r="K6" s="89"/>
    </row>
    <row r="7" spans="1:11" x14ac:dyDescent="0.25">
      <c r="A7" s="125" t="s">
        <v>96</v>
      </c>
      <c r="B7" s="126"/>
      <c r="C7" s="126"/>
      <c r="D7" s="127">
        <f>'Pryse + Sensatiwiteitsanalise'!B9</f>
        <v>4700</v>
      </c>
      <c r="E7" s="128">
        <v>0.1</v>
      </c>
      <c r="F7" s="127"/>
      <c r="G7" s="127"/>
      <c r="H7" s="127"/>
      <c r="I7" s="129"/>
      <c r="J7" s="89"/>
      <c r="K7" s="89"/>
    </row>
    <row r="8" spans="1:11" x14ac:dyDescent="0.25">
      <c r="A8" s="125" t="s">
        <v>97</v>
      </c>
      <c r="B8" s="126"/>
      <c r="C8" s="126"/>
      <c r="D8" s="127">
        <f>'Pryse + Sensatiwiteitsanalise'!B10</f>
        <v>2500</v>
      </c>
      <c r="E8" s="128">
        <v>0.06</v>
      </c>
      <c r="F8" s="127"/>
      <c r="G8" s="127"/>
      <c r="H8" s="127"/>
      <c r="I8" s="129"/>
      <c r="J8" s="89"/>
      <c r="K8" s="89"/>
    </row>
    <row r="9" spans="1:11" ht="13.8" thickBot="1" x14ac:dyDescent="0.3">
      <c r="A9" s="130" t="s">
        <v>98</v>
      </c>
      <c r="B9" s="131"/>
      <c r="C9" s="131"/>
      <c r="D9" s="127">
        <f>'Pryse + Sensatiwiteitsanalise'!B11</f>
        <v>1900</v>
      </c>
      <c r="E9" s="133"/>
      <c r="F9" s="132"/>
      <c r="G9" s="132"/>
      <c r="H9" s="132"/>
      <c r="I9" s="134"/>
      <c r="J9" s="89"/>
      <c r="K9" s="89"/>
    </row>
    <row r="10" spans="1:11" ht="13.8" thickBot="1" x14ac:dyDescent="0.3">
      <c r="A10" s="246" t="s">
        <v>99</v>
      </c>
      <c r="B10" s="247"/>
      <c r="C10" s="247"/>
      <c r="D10" s="217">
        <f>(D4*E4)+(D6*E6)+(D7*E7)+(D8*E8)+(D5*E5)</f>
        <v>15418.5</v>
      </c>
      <c r="E10" s="218" t="s">
        <v>0</v>
      </c>
      <c r="F10" s="218"/>
      <c r="G10" s="219"/>
      <c r="H10" s="219"/>
      <c r="I10" s="214"/>
      <c r="J10" s="89"/>
      <c r="K10" s="89"/>
    </row>
    <row r="11" spans="1:11" ht="13.8" thickBot="1" x14ac:dyDescent="0.3">
      <c r="A11" s="67"/>
      <c r="B11" s="68"/>
      <c r="C11" s="68"/>
      <c r="D11" s="81"/>
      <c r="E11" s="124"/>
      <c r="F11" s="80"/>
      <c r="G11" s="68"/>
      <c r="H11" s="117"/>
      <c r="I11" s="117"/>
      <c r="J11" s="89"/>
      <c r="K11" s="89"/>
    </row>
    <row r="12" spans="1:11" ht="13.8" thickBot="1" x14ac:dyDescent="0.3">
      <c r="A12" s="67" t="s">
        <v>22</v>
      </c>
      <c r="B12" s="68"/>
      <c r="C12" s="68"/>
      <c r="D12" s="123">
        <v>3</v>
      </c>
      <c r="E12" s="123">
        <v>0</v>
      </c>
      <c r="F12" s="123">
        <v>0</v>
      </c>
      <c r="G12" s="123">
        <v>0</v>
      </c>
      <c r="H12" s="123">
        <v>0</v>
      </c>
      <c r="I12" s="123">
        <v>0</v>
      </c>
      <c r="J12" s="89"/>
      <c r="K12" s="89"/>
    </row>
    <row r="13" spans="1:11" ht="13.8" thickBot="1" x14ac:dyDescent="0.3">
      <c r="A13" s="192" t="s">
        <v>23</v>
      </c>
      <c r="B13" s="193"/>
      <c r="C13" s="194"/>
      <c r="D13" s="220">
        <f>(D10*D12)+(D9*2)</f>
        <v>50055.5</v>
      </c>
      <c r="E13" s="220">
        <v>0</v>
      </c>
      <c r="F13" s="220">
        <v>0</v>
      </c>
      <c r="G13" s="220">
        <v>0</v>
      </c>
      <c r="H13" s="220">
        <v>0</v>
      </c>
      <c r="I13" s="220">
        <v>0</v>
      </c>
      <c r="J13" s="89"/>
      <c r="K13" s="89"/>
    </row>
    <row r="14" spans="1:11" ht="13.8" thickBot="1" x14ac:dyDescent="0.3">
      <c r="A14" s="70"/>
      <c r="B14" s="71"/>
      <c r="C14" s="71"/>
      <c r="D14" s="118"/>
      <c r="E14" s="118"/>
      <c r="F14" s="118"/>
      <c r="G14" s="118"/>
      <c r="H14" s="118"/>
      <c r="I14" s="118"/>
      <c r="J14" s="89"/>
      <c r="K14" s="89"/>
    </row>
    <row r="15" spans="1:11" ht="13.8" thickBot="1" x14ac:dyDescent="0.3">
      <c r="A15" s="267" t="s">
        <v>24</v>
      </c>
      <c r="B15" s="268"/>
      <c r="C15" s="269"/>
      <c r="D15" s="211"/>
      <c r="E15" s="211"/>
      <c r="F15" s="211"/>
      <c r="G15" s="211"/>
      <c r="H15" s="211"/>
      <c r="I15" s="211"/>
      <c r="J15" s="89"/>
      <c r="K15" s="89"/>
    </row>
    <row r="16" spans="1:11" x14ac:dyDescent="0.25">
      <c r="A16" s="73" t="s">
        <v>25</v>
      </c>
      <c r="B16" s="74"/>
      <c r="C16" s="74"/>
      <c r="D16" s="115">
        <v>2444</v>
      </c>
      <c r="E16" s="119">
        <v>0</v>
      </c>
      <c r="F16" s="119">
        <v>0</v>
      </c>
      <c r="G16" s="119">
        <v>0</v>
      </c>
      <c r="H16" s="119">
        <v>0</v>
      </c>
      <c r="I16" s="119">
        <v>0</v>
      </c>
      <c r="J16" s="89"/>
      <c r="K16" s="89"/>
    </row>
    <row r="17" spans="1:11" x14ac:dyDescent="0.25">
      <c r="A17" s="69" t="s">
        <v>26</v>
      </c>
      <c r="B17" s="72"/>
      <c r="C17" s="72"/>
      <c r="D17" s="116">
        <v>8808.5</v>
      </c>
      <c r="E17" s="120">
        <v>0</v>
      </c>
      <c r="F17" s="120">
        <v>0</v>
      </c>
      <c r="G17" s="120">
        <v>0</v>
      </c>
      <c r="H17" s="120">
        <v>0</v>
      </c>
      <c r="I17" s="120">
        <v>0</v>
      </c>
      <c r="J17" s="89"/>
      <c r="K17" s="89"/>
    </row>
    <row r="18" spans="1:11" x14ac:dyDescent="0.25">
      <c r="A18" s="69" t="s">
        <v>27</v>
      </c>
      <c r="B18" s="72"/>
      <c r="C18" s="72"/>
      <c r="D18" s="116">
        <v>770</v>
      </c>
      <c r="E18" s="120">
        <v>0</v>
      </c>
      <c r="F18" s="120">
        <v>0</v>
      </c>
      <c r="G18" s="120">
        <v>0</v>
      </c>
      <c r="H18" s="120">
        <v>0</v>
      </c>
      <c r="I18" s="120">
        <v>0</v>
      </c>
      <c r="J18" s="89"/>
      <c r="K18" s="89"/>
    </row>
    <row r="19" spans="1:11" x14ac:dyDescent="0.25">
      <c r="A19" s="69" t="s">
        <v>28</v>
      </c>
      <c r="B19" s="72"/>
      <c r="C19" s="72"/>
      <c r="D19" s="116">
        <v>1758.7617100000002</v>
      </c>
      <c r="E19" s="120">
        <v>0</v>
      </c>
      <c r="F19" s="120">
        <v>0</v>
      </c>
      <c r="G19" s="120">
        <v>0</v>
      </c>
      <c r="H19" s="120">
        <v>0</v>
      </c>
      <c r="I19" s="120">
        <v>0</v>
      </c>
      <c r="J19" s="89"/>
      <c r="K19" s="89"/>
    </row>
    <row r="20" spans="1:11" x14ac:dyDescent="0.25">
      <c r="A20" s="69" t="s">
        <v>29</v>
      </c>
      <c r="B20" s="72"/>
      <c r="C20" s="72"/>
      <c r="D20" s="116">
        <v>760.5797306072875</v>
      </c>
      <c r="E20" s="120">
        <v>0</v>
      </c>
      <c r="F20" s="120">
        <v>0</v>
      </c>
      <c r="G20" s="120">
        <v>0</v>
      </c>
      <c r="H20" s="120">
        <v>0</v>
      </c>
      <c r="I20" s="120">
        <v>0</v>
      </c>
      <c r="J20" s="89"/>
      <c r="K20" s="89"/>
    </row>
    <row r="21" spans="1:11" x14ac:dyDescent="0.25">
      <c r="A21" s="69" t="s">
        <v>30</v>
      </c>
      <c r="B21" s="72"/>
      <c r="C21" s="72"/>
      <c r="D21" s="116">
        <v>1183.6405</v>
      </c>
      <c r="E21" s="120">
        <v>0</v>
      </c>
      <c r="F21" s="120">
        <v>0</v>
      </c>
      <c r="G21" s="120">
        <v>0</v>
      </c>
      <c r="H21" s="120">
        <v>0</v>
      </c>
      <c r="I21" s="120">
        <v>0</v>
      </c>
      <c r="J21" s="89"/>
      <c r="K21" s="89"/>
    </row>
    <row r="22" spans="1:11" x14ac:dyDescent="0.25">
      <c r="A22" s="69" t="s">
        <v>31</v>
      </c>
      <c r="B22" s="72"/>
      <c r="C22" s="72"/>
      <c r="D22" s="116">
        <v>4140.9350000000004</v>
      </c>
      <c r="E22" s="120">
        <v>0</v>
      </c>
      <c r="F22" s="120">
        <v>0</v>
      </c>
      <c r="G22" s="120">
        <v>0</v>
      </c>
      <c r="H22" s="120">
        <v>0</v>
      </c>
      <c r="I22" s="120">
        <v>0</v>
      </c>
      <c r="J22" s="89"/>
      <c r="K22" s="89"/>
    </row>
    <row r="23" spans="1:11" x14ac:dyDescent="0.25">
      <c r="A23" s="69" t="s">
        <v>32</v>
      </c>
      <c r="B23" s="72"/>
      <c r="C23" s="72"/>
      <c r="D23" s="116">
        <v>0</v>
      </c>
      <c r="E23" s="120">
        <v>0</v>
      </c>
      <c r="F23" s="120">
        <v>0</v>
      </c>
      <c r="G23" s="120">
        <v>0</v>
      </c>
      <c r="H23" s="120">
        <v>0</v>
      </c>
      <c r="I23" s="120">
        <v>0</v>
      </c>
      <c r="J23" s="89"/>
      <c r="K23" s="89"/>
    </row>
    <row r="24" spans="1:11" s="1" customFormat="1" x14ac:dyDescent="0.25">
      <c r="A24" s="69" t="s">
        <v>33</v>
      </c>
      <c r="B24" s="72"/>
      <c r="C24" s="72"/>
      <c r="D24" s="116">
        <v>7024.6</v>
      </c>
      <c r="E24" s="116"/>
      <c r="F24" s="116"/>
      <c r="G24" s="116"/>
      <c r="H24" s="116"/>
      <c r="I24" s="116"/>
    </row>
    <row r="25" spans="1:11" x14ac:dyDescent="0.25">
      <c r="A25" s="69" t="s">
        <v>34</v>
      </c>
      <c r="B25" s="72"/>
      <c r="C25" s="72"/>
      <c r="D25" s="116">
        <v>0</v>
      </c>
      <c r="E25" s="120">
        <v>0</v>
      </c>
      <c r="F25" s="120">
        <v>0</v>
      </c>
      <c r="G25" s="120">
        <v>0</v>
      </c>
      <c r="H25" s="120">
        <v>0</v>
      </c>
      <c r="I25" s="120">
        <v>0</v>
      </c>
      <c r="J25" s="89"/>
      <c r="K25" s="89"/>
    </row>
    <row r="26" spans="1:11" x14ac:dyDescent="0.25">
      <c r="A26" s="69" t="s">
        <v>35</v>
      </c>
      <c r="B26" s="72"/>
      <c r="C26" s="72"/>
      <c r="D26" s="116">
        <v>3560</v>
      </c>
      <c r="E26" s="120">
        <v>0</v>
      </c>
      <c r="F26" s="120">
        <v>0</v>
      </c>
      <c r="G26" s="120">
        <v>0</v>
      </c>
      <c r="H26" s="120">
        <v>0</v>
      </c>
      <c r="I26" s="120">
        <v>0</v>
      </c>
      <c r="J26" s="89"/>
      <c r="K26" s="89"/>
    </row>
    <row r="27" spans="1:11" x14ac:dyDescent="0.25">
      <c r="A27" s="69" t="s">
        <v>36</v>
      </c>
      <c r="B27" s="72"/>
      <c r="C27" s="72"/>
      <c r="D27" s="116">
        <v>480.05500000000001</v>
      </c>
      <c r="E27" s="120">
        <v>0</v>
      </c>
      <c r="F27" s="120">
        <v>0</v>
      </c>
      <c r="G27" s="120">
        <v>0</v>
      </c>
      <c r="H27" s="120">
        <v>0</v>
      </c>
      <c r="I27" s="120">
        <v>0</v>
      </c>
      <c r="J27" s="89"/>
      <c r="K27" s="89"/>
    </row>
    <row r="28" spans="1:11" x14ac:dyDescent="0.25">
      <c r="A28" s="69" t="s">
        <v>37</v>
      </c>
      <c r="B28" s="72"/>
      <c r="C28" s="72"/>
      <c r="D28" s="116">
        <v>0</v>
      </c>
      <c r="E28" s="120">
        <v>0</v>
      </c>
      <c r="F28" s="120">
        <v>0</v>
      </c>
      <c r="G28" s="120">
        <v>0</v>
      </c>
      <c r="H28" s="120">
        <v>0</v>
      </c>
      <c r="I28" s="120">
        <v>0</v>
      </c>
      <c r="J28" s="89"/>
      <c r="K28" s="89"/>
    </row>
    <row r="29" spans="1:11" x14ac:dyDescent="0.25">
      <c r="A29" s="69" t="s">
        <v>38</v>
      </c>
      <c r="B29" s="72"/>
      <c r="C29" s="72"/>
      <c r="D29" s="116">
        <v>0</v>
      </c>
      <c r="E29" s="120">
        <v>0</v>
      </c>
      <c r="F29" s="120">
        <v>0</v>
      </c>
      <c r="G29" s="120">
        <v>0</v>
      </c>
      <c r="H29" s="120">
        <v>0</v>
      </c>
      <c r="I29" s="120">
        <v>0</v>
      </c>
      <c r="J29" s="89"/>
      <c r="K29" s="89"/>
    </row>
    <row r="30" spans="1:11" x14ac:dyDescent="0.25">
      <c r="A30" s="69" t="s">
        <v>39</v>
      </c>
      <c r="B30" s="72"/>
      <c r="C30" s="72"/>
      <c r="D30" s="116">
        <v>1800</v>
      </c>
      <c r="E30" s="120">
        <v>0</v>
      </c>
      <c r="F30" s="120">
        <v>0</v>
      </c>
      <c r="G30" s="120">
        <v>0</v>
      </c>
      <c r="H30" s="120">
        <v>0</v>
      </c>
      <c r="I30" s="120">
        <v>0</v>
      </c>
      <c r="J30" s="89"/>
      <c r="K30" s="89"/>
    </row>
    <row r="31" spans="1:11" x14ac:dyDescent="0.25">
      <c r="A31" s="69" t="s">
        <v>40</v>
      </c>
      <c r="B31" s="72"/>
      <c r="C31" s="72"/>
      <c r="D31" s="116">
        <v>0</v>
      </c>
      <c r="E31" s="120">
        <v>0</v>
      </c>
      <c r="F31" s="120">
        <v>0</v>
      </c>
      <c r="G31" s="120">
        <v>0</v>
      </c>
      <c r="H31" s="120">
        <v>0</v>
      </c>
      <c r="I31" s="120">
        <v>0</v>
      </c>
      <c r="J31" s="89"/>
      <c r="K31" s="89"/>
    </row>
    <row r="32" spans="1:11" ht="13.8" thickBot="1" x14ac:dyDescent="0.3">
      <c r="A32" s="69" t="s">
        <v>41</v>
      </c>
      <c r="B32" s="72"/>
      <c r="C32" s="72"/>
      <c r="D32" s="116">
        <v>1608.0504765106782</v>
      </c>
      <c r="E32" s="120">
        <v>0</v>
      </c>
      <c r="F32" s="120">
        <v>0</v>
      </c>
      <c r="G32" s="120">
        <v>0</v>
      </c>
      <c r="H32" s="120">
        <v>0</v>
      </c>
      <c r="I32" s="120">
        <v>0</v>
      </c>
      <c r="J32" s="89"/>
      <c r="K32" s="89"/>
    </row>
    <row r="33" spans="1:11" ht="13.8" thickBot="1" x14ac:dyDescent="0.3">
      <c r="A33" s="246" t="s">
        <v>42</v>
      </c>
      <c r="B33" s="247"/>
      <c r="C33" s="248"/>
      <c r="D33" s="221">
        <f>SUM(D16:D32)</f>
        <v>34339.122417117971</v>
      </c>
      <c r="E33" s="221"/>
      <c r="F33" s="221">
        <v>0</v>
      </c>
      <c r="G33" s="221">
        <v>0</v>
      </c>
      <c r="H33" s="221">
        <v>0</v>
      </c>
      <c r="I33" s="221">
        <v>0</v>
      </c>
      <c r="J33" s="89"/>
      <c r="K33" s="89"/>
    </row>
    <row r="34" spans="1:11" ht="13.8" thickBot="1" x14ac:dyDescent="0.3">
      <c r="A34" s="75"/>
      <c r="B34" s="76"/>
      <c r="C34" s="76"/>
      <c r="D34" s="121"/>
      <c r="E34" s="121"/>
      <c r="F34" s="121"/>
      <c r="G34" s="121"/>
      <c r="H34" s="121"/>
      <c r="I34" s="121"/>
      <c r="J34" s="89"/>
      <c r="K34" s="89"/>
    </row>
    <row r="35" spans="1:11" s="137" customFormat="1" ht="13.8" thickBot="1" x14ac:dyDescent="0.3">
      <c r="A35" s="270" t="s">
        <v>43</v>
      </c>
      <c r="B35" s="271"/>
      <c r="C35" s="272"/>
      <c r="D35" s="221">
        <v>6963.8</v>
      </c>
      <c r="E35" s="221">
        <v>0</v>
      </c>
      <c r="F35" s="222">
        <v>0</v>
      </c>
      <c r="G35" s="222">
        <v>0</v>
      </c>
      <c r="H35" s="222">
        <v>0</v>
      </c>
      <c r="I35" s="222">
        <v>0</v>
      </c>
      <c r="J35" s="147"/>
      <c r="K35" s="146"/>
    </row>
    <row r="36" spans="1:11" ht="13.8" thickBot="1" x14ac:dyDescent="0.3">
      <c r="A36" s="75"/>
      <c r="B36" s="76"/>
      <c r="C36" s="76"/>
      <c r="D36" s="121"/>
      <c r="E36" s="121"/>
      <c r="F36" s="121"/>
      <c r="G36" s="121"/>
      <c r="H36" s="121"/>
      <c r="I36" s="121"/>
      <c r="J36" s="89"/>
      <c r="K36" s="89"/>
    </row>
    <row r="37" spans="1:11" ht="13.8" thickBot="1" x14ac:dyDescent="0.3">
      <c r="A37" s="246" t="s">
        <v>44</v>
      </c>
      <c r="B37" s="247"/>
      <c r="C37" s="248"/>
      <c r="D37" s="221">
        <f>D33+D35</f>
        <v>41302.922417117974</v>
      </c>
      <c r="E37" s="221">
        <v>0</v>
      </c>
      <c r="F37" s="221">
        <v>0</v>
      </c>
      <c r="G37" s="221">
        <v>0</v>
      </c>
      <c r="H37" s="221">
        <v>0</v>
      </c>
      <c r="I37" s="221">
        <v>0</v>
      </c>
      <c r="J37" s="89"/>
      <c r="K37" s="89"/>
    </row>
    <row r="38" spans="1:11" ht="13.8" thickBot="1" x14ac:dyDescent="0.3">
      <c r="A38" s="70"/>
      <c r="B38" s="71"/>
      <c r="C38" s="71"/>
      <c r="D38" s="122"/>
      <c r="E38" s="122"/>
      <c r="F38" s="122"/>
      <c r="G38" s="122"/>
      <c r="H38" s="122"/>
      <c r="I38" s="122"/>
      <c r="J38" s="89"/>
      <c r="K38" s="89"/>
    </row>
    <row r="39" spans="1:11" ht="13.8" thickBot="1" x14ac:dyDescent="0.3">
      <c r="A39" s="246" t="s">
        <v>45</v>
      </c>
      <c r="B39" s="247"/>
      <c r="C39" s="248"/>
      <c r="D39" s="221">
        <f>D37/D12</f>
        <v>13767.640805705991</v>
      </c>
      <c r="E39" s="221">
        <v>0</v>
      </c>
      <c r="F39" s="221">
        <v>0</v>
      </c>
      <c r="G39" s="221">
        <v>0</v>
      </c>
      <c r="H39" s="221">
        <v>0</v>
      </c>
      <c r="I39" s="221">
        <v>0</v>
      </c>
      <c r="J39" s="89"/>
      <c r="K39" s="89"/>
    </row>
    <row r="40" spans="1:11" ht="13.8" thickBot="1" x14ac:dyDescent="0.3">
      <c r="A40" s="70"/>
      <c r="B40" s="71"/>
      <c r="C40" s="71"/>
      <c r="D40" s="122"/>
      <c r="E40" s="122"/>
      <c r="F40" s="122"/>
      <c r="G40" s="122"/>
      <c r="H40" s="122"/>
      <c r="I40" s="122"/>
      <c r="J40" s="89"/>
      <c r="K40" s="89"/>
    </row>
    <row r="41" spans="1:11" ht="13.8" thickBot="1" x14ac:dyDescent="0.3">
      <c r="A41" s="192" t="s">
        <v>46</v>
      </c>
      <c r="B41" s="193"/>
      <c r="C41" s="193"/>
      <c r="D41" s="221">
        <f>'Pryse + Sensatiwiteitsanalise'!D6</f>
        <v>63</v>
      </c>
      <c r="E41" s="221">
        <v>0</v>
      </c>
      <c r="F41" s="221">
        <v>0</v>
      </c>
      <c r="G41" s="221">
        <v>0</v>
      </c>
      <c r="H41" s="221">
        <v>0</v>
      </c>
      <c r="I41" s="221">
        <v>0</v>
      </c>
      <c r="J41" s="89"/>
      <c r="K41" s="89"/>
    </row>
    <row r="42" spans="1:11" ht="13.8" thickBot="1" x14ac:dyDescent="0.3">
      <c r="A42" s="70"/>
      <c r="B42" s="71"/>
      <c r="C42" s="71"/>
      <c r="D42" s="122"/>
      <c r="E42" s="122"/>
      <c r="F42" s="122"/>
      <c r="G42" s="122"/>
      <c r="H42" s="122"/>
      <c r="I42" s="122"/>
      <c r="J42" s="89"/>
      <c r="K42" s="89"/>
    </row>
    <row r="43" spans="1:11" ht="13.8" thickBot="1" x14ac:dyDescent="0.3">
      <c r="A43" s="264" t="s">
        <v>100</v>
      </c>
      <c r="B43" s="280"/>
      <c r="C43" s="281"/>
      <c r="D43" s="212">
        <f>D39+D41</f>
        <v>13830.640805705991</v>
      </c>
      <c r="E43" s="212">
        <v>0</v>
      </c>
      <c r="F43" s="212">
        <v>0</v>
      </c>
      <c r="G43" s="212">
        <v>0</v>
      </c>
      <c r="H43" s="212">
        <v>0</v>
      </c>
      <c r="I43" s="212">
        <v>0</v>
      </c>
      <c r="J43" s="89"/>
      <c r="K43" s="89"/>
    </row>
    <row r="44" spans="1:11" ht="13.8" thickBot="1" x14ac:dyDescent="0.3">
      <c r="A44" s="201" t="s">
        <v>101</v>
      </c>
      <c r="B44" s="202"/>
      <c r="C44" s="203"/>
      <c r="D44" s="212">
        <f>D4</f>
        <v>18937</v>
      </c>
      <c r="E44" s="212">
        <v>0</v>
      </c>
      <c r="F44" s="212">
        <v>0</v>
      </c>
      <c r="G44" s="212">
        <v>0</v>
      </c>
      <c r="H44" s="212">
        <v>0</v>
      </c>
      <c r="I44" s="212">
        <v>0</v>
      </c>
      <c r="J44" s="89"/>
      <c r="K44" s="89"/>
    </row>
    <row r="45" spans="1:11" ht="13.8" thickBot="1" x14ac:dyDescent="0.3">
      <c r="A45" s="201" t="s">
        <v>102</v>
      </c>
      <c r="B45" s="202"/>
      <c r="C45" s="203"/>
      <c r="D45" s="212">
        <f>D10</f>
        <v>15418.5</v>
      </c>
      <c r="E45" s="212"/>
      <c r="F45" s="212"/>
      <c r="G45" s="212"/>
      <c r="H45" s="212"/>
      <c r="I45" s="212"/>
      <c r="J45" s="89"/>
      <c r="K45" s="26"/>
    </row>
    <row r="46" spans="1:11" s="1" customFormat="1" ht="13.8" thickBot="1" x14ac:dyDescent="0.3"/>
    <row r="47" spans="1:11" ht="14.4" x14ac:dyDescent="0.3">
      <c r="A47" s="273" t="s">
        <v>119</v>
      </c>
      <c r="B47" s="274"/>
      <c r="C47" s="275"/>
      <c r="D47" s="186">
        <f>D13-D33</f>
        <v>15716.377582882029</v>
      </c>
      <c r="E47" s="186"/>
      <c r="F47" s="186"/>
      <c r="G47" s="186"/>
      <c r="H47" s="186"/>
      <c r="I47" s="186"/>
    </row>
    <row r="48" spans="1:11" ht="15" thickBot="1" x14ac:dyDescent="0.35">
      <c r="A48" s="276" t="s">
        <v>120</v>
      </c>
      <c r="B48" s="277"/>
      <c r="C48" s="278"/>
      <c r="D48" s="187">
        <f>D13-D37</f>
        <v>8752.577582882026</v>
      </c>
      <c r="E48" s="187"/>
      <c r="F48" s="187"/>
      <c r="G48" s="187"/>
      <c r="H48" s="187"/>
      <c r="I48" s="187"/>
    </row>
    <row r="49" spans="1:11" ht="14.4" x14ac:dyDescent="0.25">
      <c r="A49" s="58" t="s">
        <v>14</v>
      </c>
      <c r="B49" s="59"/>
      <c r="C49" s="59"/>
      <c r="D49" s="59"/>
      <c r="E49" s="59"/>
      <c r="F49" s="59"/>
      <c r="G49" s="59"/>
      <c r="H49" s="60"/>
      <c r="I49" s="26"/>
      <c r="J49" s="26"/>
      <c r="K49" s="26"/>
    </row>
    <row r="50" spans="1:11" ht="14.4" x14ac:dyDescent="0.25">
      <c r="A50" s="61" t="s">
        <v>15</v>
      </c>
      <c r="B50" s="62"/>
      <c r="C50" s="62"/>
      <c r="D50" s="62"/>
      <c r="E50" s="62"/>
      <c r="F50" s="62"/>
      <c r="G50" s="62"/>
      <c r="H50" s="63"/>
      <c r="I50" s="26"/>
      <c r="J50" s="26"/>
      <c r="K50" s="26"/>
    </row>
    <row r="51" spans="1:11" ht="15" thickBot="1" x14ac:dyDescent="0.3">
      <c r="A51" s="64" t="s">
        <v>16</v>
      </c>
      <c r="B51" s="65"/>
      <c r="C51" s="65"/>
      <c r="D51" s="65"/>
      <c r="E51" s="65"/>
      <c r="F51" s="65"/>
      <c r="G51" s="65"/>
      <c r="H51" s="66"/>
      <c r="I51" s="26"/>
      <c r="J51" s="26"/>
      <c r="K51" s="26"/>
    </row>
  </sheetData>
  <mergeCells count="11">
    <mergeCell ref="A47:C47"/>
    <mergeCell ref="A48:C48"/>
    <mergeCell ref="A1:D1"/>
    <mergeCell ref="E1:G1"/>
    <mergeCell ref="A39:C39"/>
    <mergeCell ref="A43:C43"/>
    <mergeCell ref="A15:C15"/>
    <mergeCell ref="A33:C33"/>
    <mergeCell ref="A35:C35"/>
    <mergeCell ref="A37:C37"/>
    <mergeCell ref="A10:C10"/>
  </mergeCells>
  <conditionalFormatting sqref="D47:I48">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7"/>
  <sheetViews>
    <sheetView tabSelected="1" zoomScale="85" zoomScaleNormal="85" workbookViewId="0">
      <selection activeCell="A2" sqref="A2:D35"/>
    </sheetView>
  </sheetViews>
  <sheetFormatPr defaultRowHeight="13.2" x14ac:dyDescent="0.25"/>
  <cols>
    <col min="1" max="1" width="45.109375" customWidth="1"/>
    <col min="2" max="2" width="14.109375" customWidth="1"/>
    <col min="3" max="3" width="16.5546875" style="137" customWidth="1"/>
    <col min="4" max="4" width="15.88671875" style="137" customWidth="1"/>
  </cols>
  <sheetData>
    <row r="1" spans="1:5" ht="14.4" x14ac:dyDescent="0.3">
      <c r="A1" s="95" t="s">
        <v>122</v>
      </c>
      <c r="B1" s="102"/>
      <c r="C1" s="87"/>
      <c r="D1" s="83"/>
      <c r="E1" s="183"/>
    </row>
    <row r="2" spans="1:5" ht="14.4" x14ac:dyDescent="0.3">
      <c r="A2" s="223" t="s">
        <v>58</v>
      </c>
      <c r="B2" s="224" t="s">
        <v>59</v>
      </c>
      <c r="C2" s="225" t="s">
        <v>60</v>
      </c>
      <c r="D2" s="225" t="s">
        <v>91</v>
      </c>
      <c r="E2" s="183"/>
    </row>
    <row r="3" spans="1:5" ht="14.4" x14ac:dyDescent="0.3">
      <c r="A3" s="226" t="s">
        <v>61</v>
      </c>
      <c r="B3" s="227"/>
      <c r="C3" s="228"/>
      <c r="D3" s="228"/>
      <c r="E3" s="183"/>
    </row>
    <row r="4" spans="1:5" ht="14.4" x14ac:dyDescent="0.3">
      <c r="A4" s="103" t="s">
        <v>62</v>
      </c>
      <c r="B4" s="105">
        <v>15</v>
      </c>
      <c r="C4" s="105">
        <f>'Bes-soja (vermin bewerk)'!G5</f>
        <v>4</v>
      </c>
      <c r="D4" s="105">
        <v>3</v>
      </c>
      <c r="E4" s="183"/>
    </row>
    <row r="5" spans="1:5" ht="14.4" x14ac:dyDescent="0.3">
      <c r="A5" s="103" t="s">
        <v>63</v>
      </c>
      <c r="B5" s="97">
        <f>'Pryse + Sensatiwiteitsanalise'!B4</f>
        <v>3810</v>
      </c>
      <c r="C5" s="97">
        <f>'Pryse + Sensatiwiteitsanalise'!B5</f>
        <v>8200</v>
      </c>
      <c r="D5" s="97">
        <f>'Bes-Grondbone'!D10</f>
        <v>15418.5</v>
      </c>
      <c r="E5" s="183"/>
    </row>
    <row r="6" spans="1:5" ht="14.4" x14ac:dyDescent="0.3">
      <c r="A6" s="103" t="s">
        <v>64</v>
      </c>
      <c r="B6" s="97">
        <f>'Pryse + Sensatiwiteitsanalise'!D4</f>
        <v>601</v>
      </c>
      <c r="C6" s="97">
        <f>'Pryse + Sensatiwiteitsanalise'!D5</f>
        <v>204</v>
      </c>
      <c r="D6" s="97">
        <f>'Pryse + Sensatiwiteitsanalise'!D6</f>
        <v>63</v>
      </c>
      <c r="E6" s="183"/>
    </row>
    <row r="7" spans="1:5" ht="15" thickBot="1" x14ac:dyDescent="0.35">
      <c r="A7" s="103" t="s">
        <v>65</v>
      </c>
      <c r="B7" s="98">
        <f>B5-B6</f>
        <v>3209</v>
      </c>
      <c r="C7" s="98">
        <f>C5-C6</f>
        <v>7996</v>
      </c>
      <c r="D7" s="98">
        <f>D5-D6</f>
        <v>15355.5</v>
      </c>
      <c r="E7" s="183"/>
    </row>
    <row r="8" spans="1:5" ht="15" thickTop="1" x14ac:dyDescent="0.3">
      <c r="A8" s="101" t="s">
        <v>66</v>
      </c>
      <c r="B8" s="106">
        <f>B4*B7</f>
        <v>48135</v>
      </c>
      <c r="C8" s="106">
        <f>C4*C7</f>
        <v>31984</v>
      </c>
      <c r="D8" s="106">
        <f>D4*D7</f>
        <v>46066.5</v>
      </c>
      <c r="E8" s="183"/>
    </row>
    <row r="9" spans="1:5" ht="14.4" x14ac:dyDescent="0.3">
      <c r="A9" s="103"/>
      <c r="B9" s="107"/>
      <c r="C9" s="82"/>
      <c r="D9" s="82"/>
      <c r="E9" s="183"/>
    </row>
    <row r="10" spans="1:5" ht="14.4" x14ac:dyDescent="0.3">
      <c r="A10" s="226" t="s">
        <v>67</v>
      </c>
      <c r="B10" s="229"/>
      <c r="C10" s="230"/>
      <c r="D10" s="230"/>
      <c r="E10" s="183"/>
    </row>
    <row r="11" spans="1:5" ht="14.4" x14ac:dyDescent="0.3">
      <c r="A11" s="108" t="s">
        <v>25</v>
      </c>
      <c r="B11" s="108">
        <f>'Bes-mielies'!H9</f>
        <v>8001.8500000000013</v>
      </c>
      <c r="C11" s="108">
        <f>'Bes-soja (vermin bewerk)'!G9</f>
        <v>2674.94</v>
      </c>
      <c r="D11" s="108">
        <f>'Bes-Grondbone'!D16</f>
        <v>2444</v>
      </c>
      <c r="E11" s="184"/>
    </row>
    <row r="12" spans="1:5" ht="14.4" x14ac:dyDescent="0.3">
      <c r="A12" s="108" t="s">
        <v>26</v>
      </c>
      <c r="B12" s="108">
        <f>'Bes-mielies'!H10</f>
        <v>14109.050000000001</v>
      </c>
      <c r="C12" s="108">
        <f>'Bes-soja (vermin bewerk)'!G10</f>
        <v>7636.8</v>
      </c>
      <c r="D12" s="108">
        <f>'Bes-Grondbone'!D17</f>
        <v>8808.5</v>
      </c>
      <c r="E12" s="184"/>
    </row>
    <row r="13" spans="1:5" ht="14.4" hidden="1" x14ac:dyDescent="0.3">
      <c r="A13" s="108" t="s">
        <v>27</v>
      </c>
      <c r="B13" s="108">
        <f>'Bes-mielies'!H11</f>
        <v>0</v>
      </c>
      <c r="C13" s="108">
        <f>'Bes-soja (vermin bewerk)'!G11</f>
        <v>0</v>
      </c>
      <c r="D13" s="108">
        <f>'Bes-Grondbone'!D18</f>
        <v>770</v>
      </c>
      <c r="E13" s="184"/>
    </row>
    <row r="14" spans="1:5" ht="14.4" x14ac:dyDescent="0.3">
      <c r="A14" s="108" t="s">
        <v>28</v>
      </c>
      <c r="B14" s="108">
        <f>'Bes-mielies'!H12</f>
        <v>1724.8300300000003</v>
      </c>
      <c r="C14" s="108">
        <f>'Bes-soja (vermin bewerk)'!G12</f>
        <v>998.6176200000001</v>
      </c>
      <c r="D14" s="108">
        <f>'Bes-Grondbone'!D19</f>
        <v>1758.7617100000002</v>
      </c>
      <c r="E14" s="184"/>
    </row>
    <row r="15" spans="1:5" ht="14.4" x14ac:dyDescent="0.3">
      <c r="A15" s="108" t="s">
        <v>29</v>
      </c>
      <c r="B15" s="108">
        <f>'Bes-mielies'!H13</f>
        <v>536.69831999999997</v>
      </c>
      <c r="C15" s="108">
        <f>'Bes-soja (vermin bewerk)'!G13</f>
        <v>329.75260000000003</v>
      </c>
      <c r="D15" s="108">
        <f>'Bes-Grondbone'!D20</f>
        <v>760.5797306072875</v>
      </c>
      <c r="E15" s="184"/>
    </row>
    <row r="16" spans="1:5" ht="14.4" x14ac:dyDescent="0.3">
      <c r="A16" s="108" t="s">
        <v>30</v>
      </c>
      <c r="B16" s="108">
        <f>'Bes-mielies'!H14</f>
        <v>824.68</v>
      </c>
      <c r="C16" s="108">
        <f>'Bes-soja (vermin bewerk)'!G14</f>
        <v>631.65</v>
      </c>
      <c r="D16" s="108">
        <f>'Bes-Grondbone'!D21</f>
        <v>1183.6405</v>
      </c>
      <c r="E16" s="184"/>
    </row>
    <row r="17" spans="1:5" ht="14.4" x14ac:dyDescent="0.3">
      <c r="A17" s="108" t="s">
        <v>31</v>
      </c>
      <c r="B17" s="108">
        <f>'Bes-mielies'!H15</f>
        <v>3552.1400000000003</v>
      </c>
      <c r="C17" s="108">
        <f>'Bes-soja (vermin bewerk)'!G15</f>
        <v>1950.8590000000002</v>
      </c>
      <c r="D17" s="108">
        <f>'Bes-Grondbone'!D22</f>
        <v>4140.9350000000004</v>
      </c>
      <c r="E17" s="184"/>
    </row>
    <row r="18" spans="1:5" ht="14.4" hidden="1" x14ac:dyDescent="0.3">
      <c r="A18" s="108" t="s">
        <v>32</v>
      </c>
      <c r="B18" s="108">
        <f>'Bes-mielies'!H16</f>
        <v>0</v>
      </c>
      <c r="C18" s="108">
        <f>'Bes-soja (vermin bewerk)'!G16</f>
        <v>0</v>
      </c>
      <c r="D18" s="108">
        <f>'Bes-Grondbone'!D23</f>
        <v>0</v>
      </c>
      <c r="E18" s="184"/>
    </row>
    <row r="19" spans="1:5" ht="14.4" x14ac:dyDescent="0.3">
      <c r="A19" s="108" t="s">
        <v>33</v>
      </c>
      <c r="B19" s="108">
        <f>'Bes-mielies'!H17</f>
        <v>7453.84</v>
      </c>
      <c r="C19" s="108">
        <f>'Bes-soja (vermin bewerk)'!G17</f>
        <v>6849.4</v>
      </c>
      <c r="D19" s="108">
        <f>'Bes-Grondbone'!D24</f>
        <v>7024.6</v>
      </c>
      <c r="E19" s="184"/>
    </row>
    <row r="20" spans="1:5" ht="14.4" hidden="1" x14ac:dyDescent="0.3">
      <c r="A20" s="108" t="s">
        <v>34</v>
      </c>
      <c r="B20" s="108">
        <f>'Bes-mielies'!H18</f>
        <v>0</v>
      </c>
      <c r="C20" s="108">
        <f>'Bes-soja (vermin bewerk)'!G18</f>
        <v>0</v>
      </c>
      <c r="D20" s="108">
        <f>'Bes-Grondbone'!D25</f>
        <v>0</v>
      </c>
      <c r="E20" s="184"/>
    </row>
    <row r="21" spans="1:5" ht="14.4" x14ac:dyDescent="0.3">
      <c r="A21" s="108" t="s">
        <v>35</v>
      </c>
      <c r="B21" s="108">
        <f>'Bes-mielies'!H19</f>
        <v>1100</v>
      </c>
      <c r="C21" s="108">
        <f>'Bes-soja (vermin bewerk)'!G19</f>
        <v>1250</v>
      </c>
      <c r="D21" s="108">
        <f>'Bes-Grondbone'!D26</f>
        <v>3560</v>
      </c>
      <c r="E21" s="184"/>
    </row>
    <row r="22" spans="1:5" ht="14.4" x14ac:dyDescent="0.3">
      <c r="A22" s="108" t="s">
        <v>36</v>
      </c>
      <c r="B22" s="108">
        <f>'Bes-mielies'!H20</f>
        <v>955.94999999999982</v>
      </c>
      <c r="C22" s="108">
        <f>'Bes-soja (vermin bewerk)'!G20</f>
        <v>1919.04</v>
      </c>
      <c r="D22" s="108">
        <f>'Bes-Grondbone'!D27</f>
        <v>480.05500000000001</v>
      </c>
      <c r="E22" s="184"/>
    </row>
    <row r="23" spans="1:5" ht="14.4" x14ac:dyDescent="0.3">
      <c r="A23" s="108" t="s">
        <v>37</v>
      </c>
      <c r="B23" s="108">
        <f>'Bes-mielies'!H21</f>
        <v>500</v>
      </c>
      <c r="C23" s="108">
        <f>'Bes-soja (vermin bewerk)'!G21</f>
        <v>0</v>
      </c>
      <c r="D23" s="108">
        <f>'Bes-Grondbone'!D28</f>
        <v>0</v>
      </c>
      <c r="E23" s="184"/>
    </row>
    <row r="24" spans="1:5" ht="14.4" hidden="1" x14ac:dyDescent="0.3">
      <c r="A24" s="108" t="s">
        <v>38</v>
      </c>
      <c r="B24" s="108">
        <f>'Bes-mielies'!H22</f>
        <v>0</v>
      </c>
      <c r="C24" s="108">
        <f>'Bes-soja (vermin bewerk)'!G22</f>
        <v>0</v>
      </c>
      <c r="D24" s="108">
        <f>'Bes-Grondbone'!D29</f>
        <v>0</v>
      </c>
      <c r="E24" s="184"/>
    </row>
    <row r="25" spans="1:5" ht="14.4" hidden="1" x14ac:dyDescent="0.3">
      <c r="A25" s="108" t="s">
        <v>39</v>
      </c>
      <c r="B25" s="108">
        <f>'Bes-mielies'!H23</f>
        <v>0</v>
      </c>
      <c r="C25" s="108">
        <f>'Bes-soja (vermin bewerk)'!G23</f>
        <v>0</v>
      </c>
      <c r="D25" s="108">
        <f>'Bes-Grondbone'!D30</f>
        <v>1800</v>
      </c>
      <c r="E25" s="184"/>
    </row>
    <row r="26" spans="1:5" ht="16.2" hidden="1" customHeight="1" x14ac:dyDescent="0.3">
      <c r="A26" s="96" t="s">
        <v>40</v>
      </c>
      <c r="B26" s="108">
        <f>'Bes-mielies'!H24</f>
        <v>0</v>
      </c>
      <c r="C26" s="108">
        <f>'Bes-soja (vermin bewerk)'!G24</f>
        <v>0</v>
      </c>
      <c r="D26" s="108">
        <f>'Bes-Grondbone'!D31</f>
        <v>0</v>
      </c>
      <c r="E26" s="184"/>
    </row>
    <row r="27" spans="1:5" ht="15" customHeight="1" thickBot="1" x14ac:dyDescent="0.35">
      <c r="A27" s="96" t="s">
        <v>41</v>
      </c>
      <c r="B27" s="108">
        <f>'Bes-mielies'!H25</f>
        <v>2496.3068954666751</v>
      </c>
      <c r="C27" s="148">
        <f>'Bes-soja (vermin bewerk)'!G25</f>
        <v>1421.9684625004127</v>
      </c>
      <c r="D27" s="148">
        <f>'Bes-Grondbone'!D32</f>
        <v>1608.0504765106782</v>
      </c>
      <c r="E27" s="184"/>
    </row>
    <row r="28" spans="1:5" ht="15" thickTop="1" x14ac:dyDescent="0.3">
      <c r="A28" s="231" t="s">
        <v>68</v>
      </c>
      <c r="B28" s="232">
        <f>SUM(B11:B27)</f>
        <v>41255.345245466677</v>
      </c>
      <c r="C28" s="232">
        <f>SUM(C11:C27)</f>
        <v>25663.027682500415</v>
      </c>
      <c r="D28" s="232">
        <f>SUM(D11:D27)</f>
        <v>34339.122417117971</v>
      </c>
      <c r="E28" s="184"/>
    </row>
    <row r="29" spans="1:5" ht="15" thickBot="1" x14ac:dyDescent="0.35">
      <c r="A29" s="144"/>
      <c r="B29" s="150"/>
      <c r="C29" s="150"/>
      <c r="D29" s="150"/>
      <c r="E29" s="183"/>
    </row>
    <row r="30" spans="1:5" ht="15" thickTop="1" x14ac:dyDescent="0.3">
      <c r="A30" s="231" t="s">
        <v>69</v>
      </c>
      <c r="B30" s="232">
        <f>'Bes-mielies'!D28</f>
        <v>6936.7982283884357</v>
      </c>
      <c r="C30" s="232">
        <f>'Bes-soja (vermin bewerk)'!D28</f>
        <v>5890</v>
      </c>
      <c r="D30" s="232">
        <f>'Bes-Grondbone'!D35</f>
        <v>6963.8</v>
      </c>
      <c r="E30" s="183"/>
    </row>
    <row r="31" spans="1:5" ht="14.4" x14ac:dyDescent="0.3">
      <c r="A31" s="144"/>
      <c r="B31" s="149"/>
      <c r="C31" s="149"/>
      <c r="D31" s="149"/>
      <c r="E31" s="183"/>
    </row>
    <row r="32" spans="1:5" s="137" customFormat="1" ht="15" thickBot="1" x14ac:dyDescent="0.35">
      <c r="A32" s="231" t="s">
        <v>70</v>
      </c>
      <c r="B32" s="233">
        <f>B28+B30</f>
        <v>48192.143473855111</v>
      </c>
      <c r="C32" s="233">
        <f>C28+C30</f>
        <v>31553.027682500415</v>
      </c>
      <c r="D32" s="233">
        <f>D28+D30</f>
        <v>41302.922417117974</v>
      </c>
      <c r="E32" s="83"/>
    </row>
    <row r="33" spans="1:5" s="137" customFormat="1" ht="15.6" thickTop="1" thickBot="1" x14ac:dyDescent="0.35">
      <c r="A33" s="104"/>
      <c r="B33" s="150"/>
      <c r="C33" s="150"/>
      <c r="D33" s="150"/>
      <c r="E33" s="83"/>
    </row>
    <row r="34" spans="1:5" s="137" customFormat="1" ht="15" thickTop="1" x14ac:dyDescent="0.3">
      <c r="A34" s="143" t="s">
        <v>71</v>
      </c>
      <c r="B34" s="186">
        <f>B8-B28</f>
        <v>6879.6547545333233</v>
      </c>
      <c r="C34" s="186">
        <f>C8-C28</f>
        <v>6320.9723174995852</v>
      </c>
      <c r="D34" s="186">
        <f>D8-D28</f>
        <v>11727.377582882029</v>
      </c>
      <c r="E34" s="83"/>
    </row>
    <row r="35" spans="1:5" s="137" customFormat="1" ht="15" thickBot="1" x14ac:dyDescent="0.35">
      <c r="A35" s="143" t="s">
        <v>72</v>
      </c>
      <c r="B35" s="187">
        <f>B8-B32</f>
        <v>-57.143473855110642</v>
      </c>
      <c r="C35" s="187">
        <f>C8-C32</f>
        <v>430.97231749958519</v>
      </c>
      <c r="D35" s="187">
        <f>D8-D32</f>
        <v>4763.577582882026</v>
      </c>
      <c r="E35" s="83"/>
    </row>
    <row r="36" spans="1:5" s="137" customFormat="1" ht="14.4" x14ac:dyDescent="0.3">
      <c r="A36" s="143"/>
      <c r="B36" s="92"/>
      <c r="C36" s="92"/>
      <c r="D36" s="142"/>
      <c r="E36" s="83"/>
    </row>
    <row r="37" spans="1:5" s="137" customFormat="1" ht="55.5" customHeight="1" x14ac:dyDescent="0.25">
      <c r="A37" s="282" t="s">
        <v>106</v>
      </c>
      <c r="B37" s="283"/>
      <c r="C37" s="283"/>
      <c r="D37" s="283"/>
      <c r="E37" s="83"/>
    </row>
    <row r="38" spans="1:5" s="137" customFormat="1" x14ac:dyDescent="0.25">
      <c r="A38" s="86"/>
      <c r="B38" s="86"/>
      <c r="C38" s="86"/>
      <c r="D38" s="86"/>
      <c r="E38" s="83"/>
    </row>
    <row r="39" spans="1:5" s="137" customFormat="1" x14ac:dyDescent="0.25">
      <c r="A39" s="136"/>
      <c r="B39" s="136"/>
      <c r="C39" s="136"/>
      <c r="D39" s="136"/>
      <c r="E39" s="83"/>
    </row>
    <row r="40" spans="1:5" s="137" customFormat="1" x14ac:dyDescent="0.25">
      <c r="A40" s="136"/>
      <c r="B40" s="136"/>
      <c r="C40" s="136"/>
      <c r="D40" s="136"/>
      <c r="E40" s="83"/>
    </row>
    <row r="41" spans="1:5" s="137" customFormat="1" x14ac:dyDescent="0.25">
      <c r="A41" s="136"/>
      <c r="B41" s="136"/>
      <c r="C41" s="136"/>
      <c r="D41" s="136"/>
      <c r="E41" s="83"/>
    </row>
    <row r="42" spans="1:5" s="137" customFormat="1" x14ac:dyDescent="0.25">
      <c r="A42" s="136"/>
      <c r="B42" s="136"/>
      <c r="C42" s="136"/>
      <c r="D42" s="136"/>
      <c r="E42" s="83"/>
    </row>
    <row r="43" spans="1:5" s="137" customFormat="1" x14ac:dyDescent="0.25">
      <c r="A43" s="136"/>
      <c r="B43" s="136"/>
      <c r="C43" s="136"/>
      <c r="D43" s="136"/>
      <c r="E43" s="83"/>
    </row>
    <row r="44" spans="1:5" s="137" customFormat="1" x14ac:dyDescent="0.25">
      <c r="A44" s="136"/>
      <c r="B44" s="136"/>
      <c r="C44" s="136"/>
      <c r="D44" s="136"/>
      <c r="E44" s="83"/>
    </row>
    <row r="45" spans="1:5" s="137" customFormat="1" x14ac:dyDescent="0.25">
      <c r="A45" s="136"/>
      <c r="B45" s="136"/>
      <c r="C45" s="136"/>
      <c r="D45" s="136"/>
      <c r="E45" s="83"/>
    </row>
    <row r="46" spans="1:5" s="137" customFormat="1" x14ac:dyDescent="0.25">
      <c r="A46" s="136"/>
      <c r="B46" s="136"/>
      <c r="C46" s="136"/>
      <c r="D46" s="136"/>
      <c r="E46" s="83"/>
    </row>
    <row r="47" spans="1:5" s="137" customFormat="1" x14ac:dyDescent="0.25">
      <c r="A47" s="136"/>
      <c r="B47" s="136"/>
      <c r="C47" s="136"/>
      <c r="D47" s="136"/>
      <c r="E47" s="83"/>
    </row>
    <row r="48" spans="1:5" s="137" customFormat="1" x14ac:dyDescent="0.25">
      <c r="A48" s="136"/>
      <c r="B48" s="136"/>
      <c r="C48" s="136"/>
      <c r="D48" s="136"/>
      <c r="E48" s="83"/>
    </row>
    <row r="49" spans="1:5" s="137" customFormat="1" x14ac:dyDescent="0.25">
      <c r="A49" s="136"/>
      <c r="B49" s="136"/>
      <c r="C49" s="136"/>
      <c r="D49" s="136"/>
      <c r="E49" s="83"/>
    </row>
    <row r="50" spans="1:5" s="137" customFormat="1" x14ac:dyDescent="0.25">
      <c r="A50" s="136"/>
      <c r="B50" s="136"/>
      <c r="C50" s="136"/>
      <c r="D50" s="136"/>
      <c r="E50" s="83"/>
    </row>
    <row r="51" spans="1:5" s="137" customFormat="1" x14ac:dyDescent="0.25">
      <c r="A51" s="136"/>
      <c r="B51" s="136"/>
      <c r="C51" s="136"/>
      <c r="D51" s="136"/>
      <c r="E51" s="83"/>
    </row>
    <row r="52" spans="1:5" s="137" customFormat="1" x14ac:dyDescent="0.25">
      <c r="A52" s="136"/>
      <c r="B52" s="136"/>
      <c r="C52" s="136"/>
      <c r="D52" s="136"/>
      <c r="E52" s="83"/>
    </row>
    <row r="53" spans="1:5" s="137" customFormat="1" x14ac:dyDescent="0.25">
      <c r="A53" s="136"/>
      <c r="B53" s="136"/>
      <c r="C53" s="136"/>
      <c r="D53" s="136"/>
      <c r="E53" s="83"/>
    </row>
    <row r="54" spans="1:5" s="137" customFormat="1" x14ac:dyDescent="0.25">
      <c r="A54" s="136"/>
      <c r="B54" s="136"/>
      <c r="C54" s="136"/>
      <c r="D54" s="136"/>
      <c r="E54" s="83"/>
    </row>
    <row r="55" spans="1:5" s="137" customFormat="1" x14ac:dyDescent="0.25">
      <c r="A55" s="136"/>
      <c r="B55" s="136"/>
      <c r="C55" s="136"/>
      <c r="D55" s="136"/>
      <c r="E55" s="83"/>
    </row>
    <row r="56" spans="1:5" s="137" customFormat="1" x14ac:dyDescent="0.25">
      <c r="A56" s="136"/>
      <c r="B56" s="136"/>
      <c r="C56" s="136"/>
      <c r="D56" s="136"/>
      <c r="E56" s="83"/>
    </row>
    <row r="57" spans="1:5" s="137" customFormat="1" x14ac:dyDescent="0.25">
      <c r="A57" s="136"/>
      <c r="B57" s="136"/>
      <c r="C57" s="136"/>
      <c r="D57" s="135"/>
      <c r="E57" s="83"/>
    </row>
    <row r="58" spans="1:5" s="137" customFormat="1" ht="14.4" x14ac:dyDescent="0.3">
      <c r="A58" s="152" t="s">
        <v>73</v>
      </c>
      <c r="B58" s="151"/>
      <c r="C58" s="151"/>
      <c r="D58" s="139"/>
      <c r="E58" s="83"/>
    </row>
    <row r="59" spans="1:5" s="137" customFormat="1" ht="15" thickBot="1" x14ac:dyDescent="0.35">
      <c r="A59" s="85"/>
      <c r="B59" s="84" t="str">
        <f>B2</f>
        <v>Irr-Maize</v>
      </c>
      <c r="C59" s="84" t="str">
        <f>C2</f>
        <v>Irr-Soy</v>
      </c>
      <c r="D59" s="84" t="str">
        <f>D2</f>
        <v>Irr-Groundnuts</v>
      </c>
      <c r="E59" s="83"/>
    </row>
    <row r="60" spans="1:5" s="137" customFormat="1" ht="14.4" x14ac:dyDescent="0.3">
      <c r="A60" s="154" t="s">
        <v>63</v>
      </c>
      <c r="B60" s="111">
        <f>B5</f>
        <v>3810</v>
      </c>
      <c r="C60" s="111">
        <f>C5</f>
        <v>8200</v>
      </c>
      <c r="D60" s="111">
        <f>D5</f>
        <v>15418.5</v>
      </c>
      <c r="E60" s="83"/>
    </row>
    <row r="61" spans="1:5" s="137" customFormat="1" x14ac:dyDescent="0.25">
      <c r="A61" s="93" t="s">
        <v>74</v>
      </c>
      <c r="B61" s="88">
        <f>B4</f>
        <v>15</v>
      </c>
      <c r="C61" s="88">
        <f>C4</f>
        <v>4</v>
      </c>
      <c r="D61" s="88">
        <f>D4</f>
        <v>3</v>
      </c>
      <c r="E61" s="83"/>
    </row>
    <row r="62" spans="1:5" s="137" customFormat="1" x14ac:dyDescent="0.25">
      <c r="A62" s="93"/>
      <c r="B62" s="88"/>
      <c r="C62" s="88"/>
      <c r="D62" s="88"/>
      <c r="E62" s="83"/>
    </row>
    <row r="63" spans="1:5" s="137" customFormat="1" ht="14.4" x14ac:dyDescent="0.3">
      <c r="A63" s="153" t="s">
        <v>61</v>
      </c>
      <c r="B63" s="140"/>
      <c r="C63" s="140"/>
      <c r="D63" s="140"/>
      <c r="E63" s="83"/>
    </row>
    <row r="64" spans="1:5" s="137" customFormat="1" x14ac:dyDescent="0.25">
      <c r="A64" s="93" t="s">
        <v>75</v>
      </c>
      <c r="B64" s="111">
        <f>B7</f>
        <v>3209</v>
      </c>
      <c r="C64" s="111">
        <f>C7</f>
        <v>7996</v>
      </c>
      <c r="D64" s="111">
        <f>D7</f>
        <v>15355.5</v>
      </c>
      <c r="E64" s="83"/>
    </row>
    <row r="65" spans="1:5" s="137" customFormat="1" x14ac:dyDescent="0.25">
      <c r="A65" s="93" t="s">
        <v>76</v>
      </c>
      <c r="B65" s="111">
        <f>B64/B61</f>
        <v>213.93333333333334</v>
      </c>
      <c r="C65" s="111">
        <f t="shared" ref="C65:D65" si="0">C64/C61</f>
        <v>1999</v>
      </c>
      <c r="D65" s="111">
        <f t="shared" si="0"/>
        <v>5118.5</v>
      </c>
      <c r="E65" s="83"/>
    </row>
    <row r="66" spans="1:5" s="137" customFormat="1" x14ac:dyDescent="0.25">
      <c r="A66" s="93"/>
      <c r="B66" s="111"/>
      <c r="C66" s="111"/>
      <c r="D66" s="111"/>
      <c r="E66" s="83"/>
    </row>
    <row r="67" spans="1:5" s="137" customFormat="1" ht="14.4" x14ac:dyDescent="0.3">
      <c r="A67" s="153" t="s">
        <v>77</v>
      </c>
      <c r="B67" s="140"/>
      <c r="C67" s="140"/>
      <c r="D67" s="140"/>
      <c r="E67" s="83"/>
    </row>
    <row r="68" spans="1:5" s="137" customFormat="1" x14ac:dyDescent="0.25">
      <c r="A68" s="93" t="s">
        <v>78</v>
      </c>
      <c r="B68" s="111">
        <f>B28</f>
        <v>41255.345245466677</v>
      </c>
      <c r="C68" s="111">
        <f t="shared" ref="C68:D68" si="1">C28</f>
        <v>25663.027682500415</v>
      </c>
      <c r="D68" s="111">
        <f t="shared" si="1"/>
        <v>34339.122417117971</v>
      </c>
      <c r="E68" s="83"/>
    </row>
    <row r="69" spans="1:5" s="137" customFormat="1" x14ac:dyDescent="0.25">
      <c r="A69" s="93" t="s">
        <v>79</v>
      </c>
      <c r="B69" s="111">
        <f>B68/B61</f>
        <v>2750.3563496977786</v>
      </c>
      <c r="C69" s="111">
        <f t="shared" ref="C69:D69" si="2">C68/C61</f>
        <v>6415.7569206251037</v>
      </c>
      <c r="D69" s="111">
        <f t="shared" si="2"/>
        <v>11446.374139039324</v>
      </c>
      <c r="E69" s="83"/>
    </row>
    <row r="70" spans="1:5" s="137" customFormat="1" x14ac:dyDescent="0.25">
      <c r="A70" s="93"/>
      <c r="B70" s="111"/>
      <c r="C70" s="111"/>
      <c r="D70" s="111"/>
      <c r="E70" s="83"/>
    </row>
    <row r="71" spans="1:5" s="137" customFormat="1" x14ac:dyDescent="0.25">
      <c r="A71" s="93" t="s">
        <v>80</v>
      </c>
      <c r="B71" s="111">
        <f>B32</f>
        <v>48192.143473855111</v>
      </c>
      <c r="C71" s="111">
        <f t="shared" ref="C71:D71" si="3">C32</f>
        <v>31553.027682500415</v>
      </c>
      <c r="D71" s="111">
        <f t="shared" si="3"/>
        <v>41302.922417117974</v>
      </c>
      <c r="E71" s="83"/>
    </row>
    <row r="72" spans="1:5" s="137" customFormat="1" x14ac:dyDescent="0.25">
      <c r="A72" s="93" t="s">
        <v>81</v>
      </c>
      <c r="B72" s="111">
        <f>B71/B61</f>
        <v>3212.8095649236739</v>
      </c>
      <c r="C72" s="111">
        <f t="shared" ref="C72:D72" si="4">C71/C61</f>
        <v>7888.2569206251037</v>
      </c>
      <c r="D72" s="111">
        <f t="shared" si="4"/>
        <v>13767.640805705991</v>
      </c>
      <c r="E72" s="83"/>
    </row>
    <row r="73" spans="1:5" s="137" customFormat="1" x14ac:dyDescent="0.25">
      <c r="A73" s="93"/>
      <c r="B73" s="111"/>
      <c r="C73" s="111"/>
      <c r="D73" s="111"/>
      <c r="E73" s="184"/>
    </row>
    <row r="74" spans="1:5" s="137" customFormat="1" ht="14.4" x14ac:dyDescent="0.3">
      <c r="A74" s="138" t="s">
        <v>82</v>
      </c>
      <c r="B74" s="141"/>
      <c r="C74" s="141"/>
      <c r="D74" s="141"/>
      <c r="E74" s="184"/>
    </row>
    <row r="75" spans="1:5" s="137" customFormat="1" x14ac:dyDescent="0.25">
      <c r="A75" s="93" t="s">
        <v>83</v>
      </c>
      <c r="B75" s="111">
        <f>B34</f>
        <v>6879.6547545333233</v>
      </c>
      <c r="C75" s="111">
        <f t="shared" ref="C75:D75" si="5">C34</f>
        <v>6320.9723174995852</v>
      </c>
      <c r="D75" s="111">
        <f t="shared" si="5"/>
        <v>11727.377582882029</v>
      </c>
      <c r="E75" s="184"/>
    </row>
    <row r="76" spans="1:5" s="137" customFormat="1" x14ac:dyDescent="0.25">
      <c r="A76" s="93" t="s">
        <v>84</v>
      </c>
      <c r="B76" s="111">
        <f>B75/B61</f>
        <v>458.64365030222154</v>
      </c>
      <c r="C76" s="111">
        <f t="shared" ref="C76:D76" si="6">C75/C61</f>
        <v>1580.2430793748963</v>
      </c>
      <c r="D76" s="111">
        <f t="shared" si="6"/>
        <v>3909.1258609606762</v>
      </c>
      <c r="E76" s="184"/>
    </row>
    <row r="77" spans="1:5" s="137" customFormat="1" x14ac:dyDescent="0.25">
      <c r="A77" s="93"/>
      <c r="B77" s="111"/>
      <c r="C77" s="111"/>
      <c r="D77" s="111"/>
      <c r="E77" s="184"/>
    </row>
    <row r="78" spans="1:5" s="137" customFormat="1" x14ac:dyDescent="0.25">
      <c r="A78" s="93" t="s">
        <v>85</v>
      </c>
      <c r="B78" s="111">
        <f>B35</f>
        <v>-57.143473855110642</v>
      </c>
      <c r="C78" s="111">
        <f t="shared" ref="C78:D78" si="7">C35</f>
        <v>430.97231749958519</v>
      </c>
      <c r="D78" s="111">
        <f t="shared" si="7"/>
        <v>4763.577582882026</v>
      </c>
      <c r="E78" s="184"/>
    </row>
    <row r="79" spans="1:5" s="137" customFormat="1" x14ac:dyDescent="0.25">
      <c r="A79" s="93" t="s">
        <v>86</v>
      </c>
      <c r="B79" s="111">
        <f>B78/B61</f>
        <v>-3.809564923674043</v>
      </c>
      <c r="C79" s="111">
        <f t="shared" ref="C79:D79" si="8">C78/C61</f>
        <v>107.7430793748963</v>
      </c>
      <c r="D79" s="111">
        <f t="shared" si="8"/>
        <v>1587.8591942940086</v>
      </c>
      <c r="E79" s="184"/>
    </row>
    <row r="80" spans="1:5" s="137" customFormat="1" x14ac:dyDescent="0.25">
      <c r="A80" s="93"/>
      <c r="B80" s="111"/>
      <c r="C80" s="111"/>
      <c r="D80" s="111"/>
      <c r="E80" s="184"/>
    </row>
    <row r="81" spans="1:5" s="145" customFormat="1" ht="14.4" x14ac:dyDescent="0.3">
      <c r="A81" s="138" t="s">
        <v>87</v>
      </c>
      <c r="B81" s="141"/>
      <c r="C81" s="141"/>
      <c r="D81" s="141"/>
      <c r="E81" s="184"/>
    </row>
    <row r="82" spans="1:5" s="145" customFormat="1" ht="13.8" thickBot="1" x14ac:dyDescent="0.3">
      <c r="A82" s="93" t="s">
        <v>88</v>
      </c>
      <c r="B82" s="112">
        <f>B68/B64</f>
        <v>12.856137502482603</v>
      </c>
      <c r="C82" s="112">
        <f t="shared" ref="C82:D82" si="9">C68/C64</f>
        <v>3.2094832019135087</v>
      </c>
      <c r="D82" s="112">
        <f t="shared" si="9"/>
        <v>2.2362751077540928</v>
      </c>
      <c r="E82" s="184"/>
    </row>
    <row r="83" spans="1:5" s="137" customFormat="1" ht="14.4" thickTop="1" thickBot="1" x14ac:dyDescent="0.3">
      <c r="A83" s="93" t="s">
        <v>89</v>
      </c>
      <c r="B83" s="109">
        <f>B69+B6</f>
        <v>3351.3563496977786</v>
      </c>
      <c r="C83" s="109">
        <f>C69+C6</f>
        <v>6619.7569206251037</v>
      </c>
      <c r="D83" s="109">
        <f>D69+D6</f>
        <v>11509.374139039324</v>
      </c>
      <c r="E83" s="83"/>
    </row>
    <row r="84" spans="1:5" s="145" customFormat="1" ht="15" thickTop="1" x14ac:dyDescent="0.3">
      <c r="A84" s="138" t="s">
        <v>90</v>
      </c>
      <c r="B84" s="141"/>
      <c r="C84" s="141"/>
      <c r="D84" s="141"/>
      <c r="E84" s="184"/>
    </row>
    <row r="85" spans="1:5" s="145" customFormat="1" ht="13.8" thickBot="1" x14ac:dyDescent="0.3">
      <c r="A85" s="93" t="s">
        <v>88</v>
      </c>
      <c r="B85" s="112">
        <f>B71/B64</f>
        <v>15.017807252681555</v>
      </c>
      <c r="C85" s="112">
        <f t="shared" ref="C85:D85" si="10">C71/C64</f>
        <v>3.9461015110680857</v>
      </c>
      <c r="D85" s="112">
        <f t="shared" si="10"/>
        <v>2.6897803664561866</v>
      </c>
      <c r="E85" s="184"/>
    </row>
    <row r="86" spans="1:5" s="137" customFormat="1" ht="14.4" thickTop="1" thickBot="1" x14ac:dyDescent="0.3">
      <c r="A86" s="93" t="s">
        <v>89</v>
      </c>
      <c r="B86" s="109">
        <f>B72+B6</f>
        <v>3813.8095649236739</v>
      </c>
      <c r="C86" s="109">
        <f>C72+C6</f>
        <v>8092.2569206251037</v>
      </c>
      <c r="D86" s="109">
        <f>D72+D6</f>
        <v>13830.640805705991</v>
      </c>
      <c r="E86" s="83"/>
    </row>
    <row r="87" spans="1:5" s="137" customFormat="1" ht="13.8" thickTop="1" x14ac:dyDescent="0.25">
      <c r="A87" s="145"/>
      <c r="B87" s="145"/>
      <c r="C87" s="145"/>
      <c r="D87" s="145"/>
    </row>
  </sheetData>
  <mergeCells count="1">
    <mergeCell ref="A37:D37"/>
  </mergeCells>
  <conditionalFormatting sqref="B34:D35">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8" ma:contentTypeDescription="Create a new document." ma:contentTypeScope="" ma:versionID="67044263fe21af9ac3a1d12f29ca5c88">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271ee2a5c7b3bc834aebdb2261501666"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A8DD39-5D10-4883-A67F-85C6A687D361}">
  <ds:schemaRefs>
    <ds:schemaRef ds:uri="http://schemas.microsoft.com/sharepoint/v3/contenttype/forms"/>
  </ds:schemaRefs>
</ds:datastoreItem>
</file>

<file path=customXml/itemProps2.xml><?xml version="1.0" encoding="utf-8"?>
<ds:datastoreItem xmlns:ds="http://schemas.openxmlformats.org/officeDocument/2006/customXml" ds:itemID="{A5194FF3-D5FD-4E86-954E-C8721B8C59D1}">
  <ds:schemaRefs>
    <ds:schemaRef ds:uri="http://schemas.microsoft.com/office/2006/metadata/longProperties"/>
  </ds:schemaRefs>
</ds:datastoreItem>
</file>

<file path=customXml/itemProps3.xml><?xml version="1.0" encoding="utf-8"?>
<ds:datastoreItem xmlns:ds="http://schemas.openxmlformats.org/officeDocument/2006/customXml" ds:itemID="{113FBF7B-3DFC-4FBB-AC98-0447FBB81AAA}">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4.xml><?xml version="1.0" encoding="utf-8"?>
<ds:datastoreItem xmlns:ds="http://schemas.openxmlformats.org/officeDocument/2006/customXml" ds:itemID="{C92DD7E1-DBA2-456E-B7BE-94F9104B23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Pryse + Sensatiwiteitsanalise</vt:lpstr>
      <vt:lpstr>Bes-mielies</vt:lpstr>
      <vt:lpstr>Bes-soja (vermin bewerk)</vt:lpstr>
      <vt:lpstr>Bes-Grondbone</vt:lpstr>
      <vt:lpstr>Crop Comparison</vt:lpstr>
      <vt:lpstr>Opbrengspeil</vt:lpstr>
      <vt:lpstr>'Bes-mielies'!Print_Area</vt:lpstr>
      <vt:lpstr>'Bes-soja (vermin bewerk)'!Print_Area</vt:lpstr>
      <vt:lpstr>Sojaopbrengspeil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Christiaan Vercueil</cp:lastModifiedBy>
  <cp:lastPrinted>2016-07-25T08:19:03Z</cp:lastPrinted>
  <dcterms:created xsi:type="dcterms:W3CDTF">2007-01-09T12:07:13Z</dcterms:created>
  <dcterms:modified xsi:type="dcterms:W3CDTF">2024-08-06T06:25:49Z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16552600.0000000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