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0778143-444C-4C9C-849B-8C0A7521D87A}" xr6:coauthVersionLast="47" xr6:coauthVersionMax="47" xr10:uidLastSave="{00000000-0000-0000-0000-000000000000}"/>
  <bookViews>
    <workbookView xWindow="-108" yWindow="-108" windowWidth="23256" windowHeight="12456" tabRatio="836" firstSheet="11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Lewerings tot datum (TM)1" sheetId="29" r:id="rId17"/>
    <sheet name="Producer deliveries" sheetId="28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7" i="6" l="1"/>
  <c r="U47" i="6" s="1"/>
  <c r="T47" i="17"/>
  <c r="U47" i="17"/>
  <c r="S47" i="16"/>
  <c r="S46" i="16"/>
  <c r="T46" i="16"/>
  <c r="E13" i="4"/>
  <c r="D13" i="4"/>
  <c r="C13" i="4"/>
  <c r="O44" i="1"/>
  <c r="K44" i="1"/>
  <c r="G44" i="1"/>
  <c r="U46" i="17"/>
  <c r="C10" i="4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17" i="16"/>
  <c r="S77" i="16"/>
  <c r="R74" i="16"/>
  <c r="S74" i="1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S75" i="6"/>
  <c r="S73" i="6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U79" i="17"/>
  <c r="T78" i="17"/>
  <c r="T73" i="17"/>
  <c r="S72" i="16"/>
  <c r="U44" i="17"/>
  <c r="U45" i="17"/>
  <c r="U43" i="17"/>
  <c r="U42" i="17"/>
  <c r="U41" i="17"/>
  <c r="U39" i="17"/>
  <c r="U40" i="17"/>
  <c r="D79" i="6"/>
  <c r="E79" i="6"/>
  <c r="F79" i="6"/>
  <c r="R79" i="16"/>
  <c r="T74" i="6" l="1"/>
  <c r="U74" i="6"/>
  <c r="U80" i="17"/>
  <c r="N79" i="16"/>
  <c r="O31" i="1"/>
  <c r="U73" i="17"/>
  <c r="U74" i="17"/>
  <c r="U73" i="6"/>
  <c r="U75" i="6" s="1"/>
  <c r="U78" i="6"/>
  <c r="D5" i="4"/>
  <c r="C5" i="4"/>
  <c r="D79" i="17"/>
  <c r="E79" i="17"/>
  <c r="F79" i="17"/>
  <c r="J28" i="1"/>
  <c r="F28" i="1"/>
  <c r="N74" i="16"/>
  <c r="P75" i="17"/>
  <c r="S16" i="17"/>
  <c r="P16" i="17"/>
  <c r="Q16" i="17"/>
  <c r="Q78" i="17"/>
  <c r="T74" i="16"/>
  <c r="O74" i="16"/>
  <c r="P74" i="16"/>
  <c r="Q74" i="16"/>
  <c r="M74" i="16"/>
  <c r="M7" i="21" l="1"/>
  <c r="N6" i="21"/>
  <c r="O6" i="21"/>
  <c r="P6" i="21"/>
  <c r="Q6" i="21"/>
  <c r="M6" i="21"/>
  <c r="N5" i="21"/>
  <c r="O5" i="21"/>
  <c r="P5" i="21"/>
  <c r="Q5" i="21"/>
  <c r="R5" i="21"/>
  <c r="M5" i="21"/>
  <c r="S16" i="6"/>
  <c r="Q16" i="6"/>
  <c r="O16" i="6"/>
  <c r="T73" i="16"/>
  <c r="S74" i="6"/>
  <c r="Q79" i="16"/>
  <c r="M17" i="16"/>
  <c r="N17" i="16"/>
  <c r="O17" i="16"/>
  <c r="P17" i="16"/>
  <c r="Q17" i="16"/>
  <c r="R17" i="16"/>
  <c r="L17" i="16"/>
  <c r="N77" i="16"/>
  <c r="P7" i="21" l="1"/>
  <c r="Q81" i="16"/>
  <c r="S5" i="21"/>
  <c r="D10" i="4"/>
  <c r="U30" i="17" l="1"/>
  <c r="U19" i="17"/>
  <c r="T16" i="6"/>
  <c r="R16" i="6"/>
  <c r="S15" i="6"/>
  <c r="T15" i="6"/>
  <c r="S14" i="6"/>
  <c r="T14" i="6"/>
  <c r="E5" i="4"/>
  <c r="T16" i="17"/>
  <c r="Q15" i="16"/>
  <c r="R15" i="16"/>
  <c r="S15" i="16"/>
  <c r="C20" i="6" l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S78" i="17" l="1"/>
  <c r="T77" i="16"/>
  <c r="T72" i="16"/>
  <c r="T75" i="17"/>
  <c r="U75" i="17" s="1"/>
  <c r="U82" i="17" s="1"/>
  <c r="P15" i="16"/>
  <c r="Q14" i="6"/>
  <c r="R77" i="6" l="1"/>
  <c r="R12" i="21" l="1"/>
  <c r="T18" i="6"/>
  <c r="T78" i="6" s="1"/>
  <c r="R19" i="21" l="1"/>
  <c r="U11" i="17"/>
  <c r="T5" i="16"/>
  <c r="T6" i="16"/>
  <c r="T7" i="16"/>
  <c r="T8" i="16"/>
  <c r="T9" i="16"/>
  <c r="T10" i="16"/>
  <c r="T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 l="1"/>
  <c r="N13" i="1" s="1"/>
  <c r="J13" i="1"/>
  <c r="F13" i="1"/>
  <c r="M12" i="1"/>
  <c r="L12" i="1"/>
  <c r="N12" i="1" s="1"/>
  <c r="J12" i="1"/>
  <c r="F12" i="1"/>
  <c r="M11" i="1"/>
  <c r="L11" i="1"/>
  <c r="N11" i="1" s="1"/>
  <c r="J11" i="1"/>
  <c r="F11" i="1"/>
  <c r="M10" i="1"/>
  <c r="L10" i="1"/>
  <c r="N10" i="1" s="1"/>
  <c r="J10" i="1"/>
  <c r="F10" i="1"/>
  <c r="M9" i="1"/>
  <c r="L9" i="1"/>
  <c r="N9" i="1" s="1"/>
  <c r="J9" i="1"/>
  <c r="F9" i="1"/>
  <c r="M8" i="1"/>
  <c r="L8" i="1"/>
  <c r="N8" i="1" s="1"/>
  <c r="J8" i="1"/>
  <c r="F8" i="1"/>
  <c r="M7" i="1"/>
  <c r="L7" i="1"/>
  <c r="N7" i="1" s="1"/>
  <c r="J7" i="1"/>
  <c r="F7" i="1"/>
  <c r="M6" i="1"/>
  <c r="L6" i="1"/>
  <c r="N6" i="1" s="1"/>
  <c r="O7" i="1" s="1"/>
  <c r="O8" i="1" s="1"/>
  <c r="O9" i="1" s="1"/>
  <c r="O10" i="1" s="1"/>
  <c r="O11" i="1" s="1"/>
  <c r="O12" i="1" s="1"/>
  <c r="O13" i="1" s="1"/>
  <c r="J6" i="1"/>
  <c r="K7" i="1" s="1"/>
  <c r="F6" i="1"/>
  <c r="C7" i="1"/>
  <c r="C8" i="1" s="1"/>
  <c r="C9" i="1" s="1"/>
  <c r="C10" i="1" s="1"/>
  <c r="C11" i="1" s="1"/>
  <c r="C12" i="1" s="1"/>
  <c r="C13" i="1" s="1"/>
  <c r="A6" i="1"/>
  <c r="A7" i="1" s="1"/>
  <c r="A8" i="1" s="1"/>
  <c r="A9" i="1" s="1"/>
  <c r="A10" i="1" s="1"/>
  <c r="A11" i="1" s="1"/>
  <c r="A12" i="1" s="1"/>
  <c r="A13" i="1" s="1"/>
  <c r="S70" i="6"/>
  <c r="L67" i="1"/>
  <c r="N67" i="1" s="1"/>
  <c r="J67" i="1"/>
  <c r="F67" i="1"/>
  <c r="M66" i="1"/>
  <c r="N66" i="1" s="1"/>
  <c r="J66" i="1"/>
  <c r="L66" i="1"/>
  <c r="F66" i="1"/>
  <c r="M65" i="1"/>
  <c r="J65" i="1"/>
  <c r="L65" i="1"/>
  <c r="F65" i="1"/>
  <c r="M64" i="1"/>
  <c r="N64" i="1" s="1"/>
  <c r="J64" i="1"/>
  <c r="L64" i="1"/>
  <c r="F64" i="1"/>
  <c r="M63" i="1"/>
  <c r="J63" i="1"/>
  <c r="L63" i="1"/>
  <c r="F63" i="1"/>
  <c r="M62" i="1"/>
  <c r="N62" i="1" s="1"/>
  <c r="J62" i="1"/>
  <c r="L62" i="1"/>
  <c r="F62" i="1"/>
  <c r="M58" i="1"/>
  <c r="N58" i="1" s="1"/>
  <c r="M59" i="1"/>
  <c r="M60" i="1"/>
  <c r="N60" i="1" s="1"/>
  <c r="M61" i="1"/>
  <c r="N61" i="1" s="1"/>
  <c r="J61" i="1"/>
  <c r="J60" i="1"/>
  <c r="L61" i="1"/>
  <c r="L60" i="1"/>
  <c r="F61" i="1"/>
  <c r="F60" i="1"/>
  <c r="M57" i="1"/>
  <c r="J59" i="1"/>
  <c r="L59" i="1"/>
  <c r="F59" i="1"/>
  <c r="M56" i="1"/>
  <c r="F58" i="1"/>
  <c r="J58" i="1"/>
  <c r="L58" i="1"/>
  <c r="L57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55" i="1" s="1"/>
  <c r="J56" i="1"/>
  <c r="J57" i="1"/>
  <c r="L56" i="1"/>
  <c r="F56" i="1"/>
  <c r="F57" i="1"/>
  <c r="M32" i="1"/>
  <c r="M33" i="1"/>
  <c r="M34" i="1"/>
  <c r="J55" i="1"/>
  <c r="L55" i="1"/>
  <c r="F55" i="1"/>
  <c r="J54" i="1"/>
  <c r="L54" i="1"/>
  <c r="F54" i="1"/>
  <c r="J52" i="1"/>
  <c r="J53" i="1"/>
  <c r="L53" i="1"/>
  <c r="L52" i="1"/>
  <c r="F51" i="1"/>
  <c r="F52" i="1"/>
  <c r="F53" i="1"/>
  <c r="L43" i="1"/>
  <c r="L44" i="1"/>
  <c r="L45" i="1"/>
  <c r="L46" i="1"/>
  <c r="L47" i="1"/>
  <c r="L48" i="1"/>
  <c r="L49" i="1"/>
  <c r="L50" i="1"/>
  <c r="L51" i="1"/>
  <c r="J42" i="1"/>
  <c r="T45" i="17" s="1"/>
  <c r="J43" i="1"/>
  <c r="T46" i="17" s="1"/>
  <c r="J44" i="1"/>
  <c r="J45" i="1"/>
  <c r="J46" i="1"/>
  <c r="J47" i="1"/>
  <c r="J48" i="1"/>
  <c r="J49" i="1"/>
  <c r="J50" i="1"/>
  <c r="J51" i="1"/>
  <c r="F41" i="1"/>
  <c r="S43" i="16" s="1"/>
  <c r="F42" i="1"/>
  <c r="S44" i="16" s="1"/>
  <c r="T44" i="16" s="1"/>
  <c r="F43" i="1"/>
  <c r="S45" i="16" s="1"/>
  <c r="F44" i="1"/>
  <c r="F45" i="1"/>
  <c r="F46" i="1"/>
  <c r="F47" i="1"/>
  <c r="F48" i="1"/>
  <c r="F49" i="1"/>
  <c r="F50" i="1"/>
  <c r="J38" i="1"/>
  <c r="T41" i="17" s="1"/>
  <c r="J39" i="1"/>
  <c r="T42" i="17" s="1"/>
  <c r="J40" i="1"/>
  <c r="T43" i="17" s="1"/>
  <c r="J41" i="1"/>
  <c r="T44" i="17" s="1"/>
  <c r="L42" i="1"/>
  <c r="L41" i="1"/>
  <c r="L40" i="1"/>
  <c r="L39" i="1"/>
  <c r="L38" i="1"/>
  <c r="F38" i="1"/>
  <c r="S40" i="16" s="1"/>
  <c r="F39" i="1"/>
  <c r="S41" i="16" s="1"/>
  <c r="F40" i="1"/>
  <c r="S42" i="16" s="1"/>
  <c r="J37" i="1"/>
  <c r="T40" i="17" s="1"/>
  <c r="L37" i="1"/>
  <c r="F37" i="1"/>
  <c r="S39" i="16" s="1"/>
  <c r="J36" i="1"/>
  <c r="T39" i="17" s="1"/>
  <c r="L36" i="1"/>
  <c r="F36" i="1"/>
  <c r="S38" i="16" s="1"/>
  <c r="J34" i="1"/>
  <c r="T37" i="17" s="1"/>
  <c r="J35" i="1"/>
  <c r="T38" i="17" s="1"/>
  <c r="L35" i="1"/>
  <c r="L34" i="1"/>
  <c r="F34" i="1"/>
  <c r="S36" i="16" s="1"/>
  <c r="F35" i="1"/>
  <c r="S37" i="16" s="1"/>
  <c r="J33" i="1"/>
  <c r="T36" i="17" s="1"/>
  <c r="L33" i="1"/>
  <c r="F33" i="1"/>
  <c r="S35" i="16" s="1"/>
  <c r="J32" i="1"/>
  <c r="T35" i="17" s="1"/>
  <c r="L32" i="1"/>
  <c r="F32" i="1"/>
  <c r="S34" i="16" s="1"/>
  <c r="J31" i="1"/>
  <c r="T34" i="17" s="1"/>
  <c r="F31" i="1"/>
  <c r="S33" i="16" s="1"/>
  <c r="J30" i="1"/>
  <c r="T33" i="17" s="1"/>
  <c r="F30" i="1"/>
  <c r="S32" i="16" s="1"/>
  <c r="F29" i="1"/>
  <c r="S31" i="16" s="1"/>
  <c r="J29" i="1"/>
  <c r="T32" i="17" s="1"/>
  <c r="J17" i="1"/>
  <c r="T20" i="17" s="1"/>
  <c r="J18" i="1"/>
  <c r="T21" i="17" s="1"/>
  <c r="J19" i="1"/>
  <c r="T22" i="17" s="1"/>
  <c r="J20" i="1"/>
  <c r="T23" i="17" s="1"/>
  <c r="J21" i="1"/>
  <c r="T24" i="17" s="1"/>
  <c r="J22" i="1"/>
  <c r="T25" i="17" s="1"/>
  <c r="J23" i="1"/>
  <c r="T26" i="17" s="1"/>
  <c r="J24" i="1"/>
  <c r="T27" i="17" s="1"/>
  <c r="J25" i="1"/>
  <c r="T28" i="17" s="1"/>
  <c r="J26" i="1"/>
  <c r="T29" i="17" s="1"/>
  <c r="J27" i="1"/>
  <c r="T30" i="17" s="1"/>
  <c r="T31" i="17"/>
  <c r="J16" i="1"/>
  <c r="S30" i="16"/>
  <c r="F27" i="1"/>
  <c r="S29" i="16" s="1"/>
  <c r="F26" i="1"/>
  <c r="S28" i="16" s="1"/>
  <c r="T28" i="16" s="1"/>
  <c r="F25" i="1"/>
  <c r="F24" i="1"/>
  <c r="S26" i="16" s="1"/>
  <c r="T26" i="16" s="1"/>
  <c r="F23" i="1"/>
  <c r="S25" i="16" s="1"/>
  <c r="T25" i="16" s="1"/>
  <c r="S71" i="6"/>
  <c r="S72" i="6"/>
  <c r="F21" i="1"/>
  <c r="S23" i="16" s="1"/>
  <c r="T23" i="16" s="1"/>
  <c r="F22" i="1"/>
  <c r="S24" i="16" s="1"/>
  <c r="T24" i="16" s="1"/>
  <c r="F20" i="1"/>
  <c r="S22" i="16" s="1"/>
  <c r="F19" i="1"/>
  <c r="S21" i="16" s="1"/>
  <c r="T21" i="16" s="1"/>
  <c r="F18" i="1"/>
  <c r="S20" i="16" s="1"/>
  <c r="T20" i="16" s="1"/>
  <c r="F17" i="1"/>
  <c r="S19" i="16" s="1"/>
  <c r="T19" i="16" s="1"/>
  <c r="S77" i="6"/>
  <c r="Q12" i="21"/>
  <c r="S77" i="17"/>
  <c r="S75" i="17"/>
  <c r="R76" i="16"/>
  <c r="J17" i="16"/>
  <c r="R77" i="16"/>
  <c r="T45" i="16" l="1"/>
  <c r="T46" i="6"/>
  <c r="U46" i="6" s="1"/>
  <c r="T41" i="6"/>
  <c r="U41" i="6" s="1"/>
  <c r="T44" i="6"/>
  <c r="U44" i="6" s="1"/>
  <c r="T43" i="16"/>
  <c r="T45" i="6"/>
  <c r="U45" i="6" s="1"/>
  <c r="T43" i="6"/>
  <c r="U43" i="6" s="1"/>
  <c r="T42" i="16"/>
  <c r="T41" i="16"/>
  <c r="T42" i="6"/>
  <c r="U42" i="6" s="1"/>
  <c r="T40" i="16"/>
  <c r="T39" i="6"/>
  <c r="U39" i="6" s="1"/>
  <c r="T38" i="16"/>
  <c r="T39" i="16"/>
  <c r="T40" i="6"/>
  <c r="U40" i="6" s="1"/>
  <c r="T38" i="6"/>
  <c r="U38" i="6" s="1"/>
  <c r="T37" i="16"/>
  <c r="T37" i="6"/>
  <c r="U37" i="6" s="1"/>
  <c r="T36" i="16"/>
  <c r="T36" i="6"/>
  <c r="U36" i="6" s="1"/>
  <c r="T35" i="16"/>
  <c r="T34" i="16"/>
  <c r="T35" i="6"/>
  <c r="U35" i="6" s="1"/>
  <c r="T33" i="16"/>
  <c r="T34" i="6"/>
  <c r="U34" i="6" s="1"/>
  <c r="T31" i="6"/>
  <c r="U31" i="6" s="1"/>
  <c r="T30" i="6"/>
  <c r="U30" i="6" s="1"/>
  <c r="T33" i="6"/>
  <c r="U33" i="6" s="1"/>
  <c r="T32" i="16"/>
  <c r="T31" i="16"/>
  <c r="T32" i="6"/>
  <c r="U32" i="6" s="1"/>
  <c r="G7" i="1"/>
  <c r="G8" i="1" s="1"/>
  <c r="G9" i="1" s="1"/>
  <c r="G10" i="1" s="1"/>
  <c r="G11" i="1" s="1"/>
  <c r="G12" i="1" s="1"/>
  <c r="G13" i="1" s="1"/>
  <c r="K8" i="1"/>
  <c r="K9" i="1" s="1"/>
  <c r="K10" i="1" s="1"/>
  <c r="K11" i="1" s="1"/>
  <c r="K12" i="1" s="1"/>
  <c r="K13" i="1" s="1"/>
  <c r="T22" i="16"/>
  <c r="T29" i="16"/>
  <c r="T30" i="16"/>
  <c r="S27" i="16"/>
  <c r="T29" i="6"/>
  <c r="U29" i="6" s="1"/>
  <c r="T27" i="6"/>
  <c r="U27" i="6" s="1"/>
  <c r="T26" i="6"/>
  <c r="U26" i="6" s="1"/>
  <c r="T25" i="6"/>
  <c r="U25" i="6" s="1"/>
  <c r="T20" i="6"/>
  <c r="K16" i="1"/>
  <c r="K17" i="1" s="1"/>
  <c r="K18" i="1" s="1"/>
  <c r="K19" i="1" s="1"/>
  <c r="T19" i="17"/>
  <c r="T79" i="17" s="1"/>
  <c r="S18" i="6"/>
  <c r="S78" i="6" s="1"/>
  <c r="Q19" i="21" s="1"/>
  <c r="N63" i="1"/>
  <c r="N65" i="1"/>
  <c r="N57" i="1"/>
  <c r="N59" i="1"/>
  <c r="N33" i="1"/>
  <c r="N56" i="1"/>
  <c r="N46" i="1"/>
  <c r="N52" i="1"/>
  <c r="N36" i="1"/>
  <c r="N54" i="1"/>
  <c r="N51" i="1"/>
  <c r="N43" i="1"/>
  <c r="N47" i="1"/>
  <c r="N35" i="1"/>
  <c r="N44" i="1"/>
  <c r="N29" i="1"/>
  <c r="N50" i="1"/>
  <c r="N42" i="1"/>
  <c r="N49" i="1"/>
  <c r="N48" i="1"/>
  <c r="N34" i="1"/>
  <c r="N53" i="1"/>
  <c r="N45" i="1"/>
  <c r="N39" i="1"/>
  <c r="N21" i="1"/>
  <c r="N26" i="1"/>
  <c r="N41" i="1"/>
  <c r="N40" i="1"/>
  <c r="N31" i="1"/>
  <c r="N23" i="1"/>
  <c r="N30" i="1"/>
  <c r="N22" i="1"/>
  <c r="N38" i="1"/>
  <c r="N37" i="1"/>
  <c r="N32" i="1"/>
  <c r="O32" i="1" s="1"/>
  <c r="N28" i="1"/>
  <c r="N27" i="1"/>
  <c r="N24" i="1"/>
  <c r="N25" i="1"/>
  <c r="N20" i="1"/>
  <c r="N18" i="1"/>
  <c r="N19" i="1"/>
  <c r="N17" i="1"/>
  <c r="O33" i="1" l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D6" i="4"/>
  <c r="D7" i="4" s="1"/>
  <c r="T28" i="6"/>
  <c r="U28" i="6" s="1"/>
  <c r="T27" i="16"/>
  <c r="T21" i="6"/>
  <c r="K20" i="1"/>
  <c r="T22" i="6"/>
  <c r="U22" i="6" s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 s="1"/>
  <c r="A19" i="1" s="1"/>
  <c r="F16" i="1"/>
  <c r="D12" i="4" l="1"/>
  <c r="D14" i="4" s="1"/>
  <c r="D11" i="4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S18" i="16"/>
  <c r="S78" i="16" s="1"/>
  <c r="C6" i="4" s="1"/>
  <c r="C7" i="4" s="1"/>
  <c r="C12" i="4" s="1"/>
  <c r="K21" i="1"/>
  <c r="S19" i="6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N16" i="1"/>
  <c r="O16" i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T18" i="16" l="1"/>
  <c r="T78" i="16" s="1"/>
  <c r="T19" i="6"/>
  <c r="T24" i="6"/>
  <c r="U24" i="6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T23" i="6"/>
  <c r="U20" i="17"/>
  <c r="E14" i="1"/>
  <c r="H14" i="1"/>
  <c r="I14" i="1"/>
  <c r="D14" i="1"/>
  <c r="E8" i="4"/>
  <c r="E9" i="4"/>
  <c r="T79" i="6" l="1"/>
  <c r="R20" i="21" s="1"/>
  <c r="T73" i="6"/>
  <c r="T75" i="6" s="1"/>
  <c r="E6" i="4"/>
  <c r="C14" i="4"/>
  <c r="R6" i="21"/>
  <c r="S6" i="21" s="1"/>
  <c r="U19" i="6"/>
  <c r="E10" i="4"/>
  <c r="U23" i="6"/>
  <c r="S79" i="16"/>
  <c r="S81" i="16" s="1"/>
  <c r="T80" i="17"/>
  <c r="T82" i="17" s="1"/>
  <c r="R13" i="21"/>
  <c r="U21" i="17"/>
  <c r="S20" i="6"/>
  <c r="U20" i="6" s="1"/>
  <c r="C4" i="21"/>
  <c r="D4" i="21"/>
  <c r="E4" i="21"/>
  <c r="F4" i="21"/>
  <c r="G4" i="21"/>
  <c r="H4" i="21"/>
  <c r="D5" i="21"/>
  <c r="D6" i="21"/>
  <c r="E6" i="21"/>
  <c r="F6" i="21"/>
  <c r="G6" i="21"/>
  <c r="H6" i="21"/>
  <c r="I6" i="21"/>
  <c r="J6" i="21"/>
  <c r="K6" i="21"/>
  <c r="L6" i="21"/>
  <c r="D7" i="21"/>
  <c r="D8" i="21"/>
  <c r="F74" i="6"/>
  <c r="D78" i="16"/>
  <c r="E78" i="16"/>
  <c r="C6" i="21" s="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 s="1"/>
  <c r="C11" i="4" l="1"/>
  <c r="T80" i="6"/>
  <c r="R21" i="21" s="1"/>
  <c r="R8" i="21"/>
  <c r="R7" i="21"/>
  <c r="R15" i="21"/>
  <c r="R14" i="21"/>
  <c r="P77" i="16"/>
  <c r="U22" i="17"/>
  <c r="S21" i="6"/>
  <c r="U21" i="6" s="1"/>
  <c r="U79" i="6" s="1"/>
  <c r="R20" i="6"/>
  <c r="R19" i="6"/>
  <c r="T15" i="16"/>
  <c r="T17" i="16" s="1"/>
  <c r="R18" i="6"/>
  <c r="R78" i="6" s="1"/>
  <c r="P12" i="21"/>
  <c r="U80" i="6" l="1"/>
  <c r="U82" i="6" s="1"/>
  <c r="T82" i="6"/>
  <c r="R22" i="21" s="1"/>
  <c r="U23" i="17"/>
  <c r="S22" i="6"/>
  <c r="P19" i="21"/>
  <c r="U24" i="17" l="1"/>
  <c r="S23" i="6"/>
  <c r="Q76" i="16"/>
  <c r="S24" i="6" l="1"/>
  <c r="U25" i="17" l="1"/>
  <c r="U26" i="17"/>
  <c r="S25" i="6"/>
  <c r="Q77" i="16"/>
  <c r="G20" i="21"/>
  <c r="H20" i="21"/>
  <c r="G13" i="21"/>
  <c r="H13" i="21"/>
  <c r="L13" i="21"/>
  <c r="E20" i="21"/>
  <c r="I20" i="21"/>
  <c r="E13" i="21"/>
  <c r="L20" i="21"/>
  <c r="K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 s="1"/>
  <c r="P80" i="6"/>
  <c r="N21" i="21" s="1"/>
  <c r="O78" i="6"/>
  <c r="O80" i="6" s="1"/>
  <c r="M15" i="6"/>
  <c r="B20" i="21"/>
  <c r="C20" i="21"/>
  <c r="D20" i="21"/>
  <c r="P74" i="6"/>
  <c r="L75" i="17"/>
  <c r="Q15" i="6"/>
  <c r="K15" i="16"/>
  <c r="K17" i="16" s="1"/>
  <c r="J20" i="21"/>
  <c r="F20" i="21"/>
  <c r="O78" i="17"/>
  <c r="M12" i="21" s="1"/>
  <c r="F13" i="21"/>
  <c r="H73" i="6"/>
  <c r="N75" i="6"/>
  <c r="K18" i="6"/>
  <c r="F15" i="6"/>
  <c r="G15" i="6"/>
  <c r="G16" i="6" s="1"/>
  <c r="G14" i="17"/>
  <c r="H14" i="17"/>
  <c r="I14" i="17"/>
  <c r="J14" i="17"/>
  <c r="L16" i="17"/>
  <c r="L18" i="17" s="1"/>
  <c r="L78" i="17" s="1"/>
  <c r="G15" i="17"/>
  <c r="H15" i="17"/>
  <c r="I15" i="17"/>
  <c r="J15" i="17"/>
  <c r="K16" i="17"/>
  <c r="M16" i="17"/>
  <c r="M18" i="17" s="1"/>
  <c r="M78" i="17" s="1"/>
  <c r="F15" i="17"/>
  <c r="F14" i="17"/>
  <c r="F14" i="16"/>
  <c r="G14" i="16"/>
  <c r="H14" i="16"/>
  <c r="I14" i="16"/>
  <c r="J14" i="16"/>
  <c r="K15" i="6" s="1"/>
  <c r="H14" i="6"/>
  <c r="K14" i="6"/>
  <c r="L73" i="16"/>
  <c r="U16" i="17"/>
  <c r="O77" i="16"/>
  <c r="B6" i="21"/>
  <c r="D15" i="16"/>
  <c r="D77" i="16" s="1"/>
  <c r="D79" i="16" s="1"/>
  <c r="B7" i="21" s="1"/>
  <c r="M74" i="17"/>
  <c r="M75" i="17" s="1"/>
  <c r="M76" i="16"/>
  <c r="M77" i="16"/>
  <c r="L5" i="21" s="1"/>
  <c r="R32" i="6"/>
  <c r="R36" i="6"/>
  <c r="R30" i="6"/>
  <c r="K75" i="17"/>
  <c r="K78" i="6"/>
  <c r="K80" i="6" s="1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E87" i="6" s="1"/>
  <c r="I74" i="6"/>
  <c r="I75" i="6" s="1"/>
  <c r="I87" i="6" s="1"/>
  <c r="G18" i="21"/>
  <c r="G11" i="21"/>
  <c r="G12" i="21"/>
  <c r="H16" i="16"/>
  <c r="I17" i="6"/>
  <c r="I17" i="17"/>
  <c r="G73" i="6"/>
  <c r="D16" i="6"/>
  <c r="D78" i="6" s="1"/>
  <c r="E16" i="6"/>
  <c r="E18" i="6" s="1"/>
  <c r="E16" i="17"/>
  <c r="E18" i="17" s="1"/>
  <c r="D16" i="17"/>
  <c r="D18" i="17" s="1"/>
  <c r="E15" i="16"/>
  <c r="E77" i="16" s="1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 s="1"/>
  <c r="N78" i="17" s="1"/>
  <c r="F14" i="6"/>
  <c r="K13" i="21"/>
  <c r="K18" i="17"/>
  <c r="N13" i="21"/>
  <c r="M20" i="21"/>
  <c r="E17" i="16"/>
  <c r="E80" i="16" s="1"/>
  <c r="K78" i="17"/>
  <c r="K80" i="17" s="1"/>
  <c r="I14" i="21" s="1"/>
  <c r="D18" i="6"/>
  <c r="M13" i="21"/>
  <c r="O82" i="6" l="1"/>
  <c r="M22" i="21" s="1"/>
  <c r="M21" i="21"/>
  <c r="H16" i="17"/>
  <c r="M19" i="21"/>
  <c r="U15" i="6"/>
  <c r="U27" i="17"/>
  <c r="S26" i="6"/>
  <c r="B19" i="21"/>
  <c r="D80" i="6"/>
  <c r="B21" i="21" s="1"/>
  <c r="E78" i="6"/>
  <c r="E80" i="6" s="1"/>
  <c r="C21" i="21" s="1"/>
  <c r="F16" i="6"/>
  <c r="F78" i="6" s="1"/>
  <c r="F80" i="6" s="1"/>
  <c r="D21" i="21" s="1"/>
  <c r="I12" i="21"/>
  <c r="M74" i="6"/>
  <c r="M75" i="6" s="1"/>
  <c r="D17" i="16"/>
  <c r="D80" i="16" s="1"/>
  <c r="D81" i="16" s="1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B5" i="21"/>
  <c r="J80" i="16"/>
  <c r="J77" i="16"/>
  <c r="I5" i="21" s="1"/>
  <c r="I15" i="16"/>
  <c r="O80" i="17"/>
  <c r="H75" i="6"/>
  <c r="H87" i="6" s="1"/>
  <c r="Q75" i="17"/>
  <c r="M16" i="6"/>
  <c r="M18" i="6" s="1"/>
  <c r="M78" i="6" s="1"/>
  <c r="M80" i="6" s="1"/>
  <c r="I16" i="17"/>
  <c r="I18" i="17" s="1"/>
  <c r="F16" i="17"/>
  <c r="F78" i="17" s="1"/>
  <c r="G16" i="17"/>
  <c r="G18" i="17" s="1"/>
  <c r="J16" i="17"/>
  <c r="J78" i="17" s="1"/>
  <c r="I21" i="21"/>
  <c r="K82" i="6"/>
  <c r="I22" i="21" s="1"/>
  <c r="F18" i="6"/>
  <c r="C19" i="21"/>
  <c r="P75" i="6"/>
  <c r="P82" i="6" s="1"/>
  <c r="N22" i="21" s="1"/>
  <c r="N16" i="6"/>
  <c r="P16" i="6"/>
  <c r="I19" i="21"/>
  <c r="G78" i="6"/>
  <c r="G18" i="6"/>
  <c r="I15" i="6"/>
  <c r="G78" i="17"/>
  <c r="J12" i="21"/>
  <c r="L80" i="17"/>
  <c r="J14" i="21" s="1"/>
  <c r="M80" i="17"/>
  <c r="K12" i="21"/>
  <c r="D87" i="6"/>
  <c r="L12" i="21"/>
  <c r="N80" i="17"/>
  <c r="H78" i="17"/>
  <c r="H18" i="17"/>
  <c r="E78" i="17"/>
  <c r="C12" i="21" s="1"/>
  <c r="U14" i="6"/>
  <c r="K82" i="17"/>
  <c r="I15" i="21" s="1"/>
  <c r="I80" i="17"/>
  <c r="J14" i="6"/>
  <c r="H15" i="6"/>
  <c r="H16" i="6" s="1"/>
  <c r="D78" i="17"/>
  <c r="G75" i="6"/>
  <c r="G87" i="6" s="1"/>
  <c r="I14" i="6"/>
  <c r="F75" i="6"/>
  <c r="F87" i="6" s="1"/>
  <c r="M79" i="16"/>
  <c r="L7" i="21" s="1"/>
  <c r="E81" i="16"/>
  <c r="C8" i="21" s="1"/>
  <c r="E82" i="6"/>
  <c r="C22" i="21" s="1"/>
  <c r="L16" i="6"/>
  <c r="L18" i="6" s="1"/>
  <c r="L78" i="6" s="1"/>
  <c r="J15" i="6"/>
  <c r="F15" i="16"/>
  <c r="H15" i="16"/>
  <c r="H17" i="16" s="1"/>
  <c r="O79" i="16"/>
  <c r="N7" i="21" s="1"/>
  <c r="P78" i="17"/>
  <c r="P8" i="21" l="1"/>
  <c r="D82" i="6"/>
  <c r="B22" i="21" s="1"/>
  <c r="F18" i="17"/>
  <c r="I77" i="16"/>
  <c r="H5" i="21" s="1"/>
  <c r="I17" i="16"/>
  <c r="I80" i="16" s="1"/>
  <c r="G77" i="16"/>
  <c r="G17" i="16"/>
  <c r="G80" i="16" s="1"/>
  <c r="F77" i="16"/>
  <c r="E5" i="21" s="1"/>
  <c r="F17" i="16"/>
  <c r="F80" i="16" s="1"/>
  <c r="N18" i="6"/>
  <c r="N78" i="6" s="1"/>
  <c r="N80" i="6" s="1"/>
  <c r="N82" i="6" s="1"/>
  <c r="L22" i="21" s="1"/>
  <c r="Q20" i="21"/>
  <c r="S80" i="17"/>
  <c r="Q13" i="21"/>
  <c r="U28" i="17"/>
  <c r="S27" i="6"/>
  <c r="R63" i="6"/>
  <c r="O12" i="21"/>
  <c r="Q80" i="17"/>
  <c r="Q82" i="17" s="1"/>
  <c r="O15" i="21" s="1"/>
  <c r="R80" i="17"/>
  <c r="R22" i="6"/>
  <c r="R24" i="6"/>
  <c r="R25" i="6"/>
  <c r="I16" i="6"/>
  <c r="I18" i="6" s="1"/>
  <c r="K79" i="16"/>
  <c r="J5" i="21"/>
  <c r="K19" i="21"/>
  <c r="N14" i="1"/>
  <c r="N81" i="16"/>
  <c r="M8" i="21" s="1"/>
  <c r="L77" i="16"/>
  <c r="K5" i="21" s="1"/>
  <c r="L80" i="16"/>
  <c r="J79" i="16"/>
  <c r="I7" i="21" s="1"/>
  <c r="J16" i="6"/>
  <c r="J18" i="6" s="1"/>
  <c r="M14" i="21"/>
  <c r="O82" i="17"/>
  <c r="M15" i="21" s="1"/>
  <c r="L82" i="17"/>
  <c r="J15" i="21" s="1"/>
  <c r="M81" i="16"/>
  <c r="L8" i="21" s="1"/>
  <c r="Q75" i="6"/>
  <c r="R75" i="17"/>
  <c r="R94" i="6"/>
  <c r="D19" i="21"/>
  <c r="O81" i="16"/>
  <c r="N8" i="21" s="1"/>
  <c r="U18" i="17"/>
  <c r="U78" i="17" s="1"/>
  <c r="U16" i="6"/>
  <c r="U18" i="6" s="1"/>
  <c r="J89" i="6"/>
  <c r="K87" i="6"/>
  <c r="F82" i="6"/>
  <c r="D22" i="21" s="1"/>
  <c r="E19" i="21"/>
  <c r="G80" i="6"/>
  <c r="G82" i="6" s="1"/>
  <c r="E22" i="21" s="1"/>
  <c r="H78" i="6"/>
  <c r="H80" i="6" s="1"/>
  <c r="H18" i="6"/>
  <c r="E80" i="17"/>
  <c r="E82" i="17" s="1"/>
  <c r="E12" i="21"/>
  <c r="G80" i="17"/>
  <c r="G82" i="17" s="1"/>
  <c r="E15" i="21" s="1"/>
  <c r="I82" i="17"/>
  <c r="G15" i="21" s="1"/>
  <c r="G14" i="21"/>
  <c r="D80" i="17"/>
  <c r="D82" i="17" s="1"/>
  <c r="B12" i="21"/>
  <c r="F80" i="17"/>
  <c r="F82" i="17" s="1"/>
  <c r="D12" i="21"/>
  <c r="F12" i="21"/>
  <c r="H80" i="17"/>
  <c r="H82" i="17" s="1"/>
  <c r="F15" i="21" s="1"/>
  <c r="M82" i="17"/>
  <c r="K15" i="21" s="1"/>
  <c r="K14" i="21"/>
  <c r="M82" i="6"/>
  <c r="K22" i="21" s="1"/>
  <c r="K21" i="21"/>
  <c r="H12" i="21"/>
  <c r="J80" i="17"/>
  <c r="J18" i="17"/>
  <c r="N82" i="17"/>
  <c r="L15" i="21" s="1"/>
  <c r="L14" i="21"/>
  <c r="I79" i="16"/>
  <c r="H7" i="21" s="1"/>
  <c r="L80" i="6"/>
  <c r="J19" i="21"/>
  <c r="B8" i="21"/>
  <c r="H80" i="16"/>
  <c r="H77" i="16"/>
  <c r="G5" i="21" s="1"/>
  <c r="P79" i="16"/>
  <c r="O7" i="21" s="1"/>
  <c r="N12" i="21"/>
  <c r="S12" i="21" s="1"/>
  <c r="P80" i="17"/>
  <c r="O20" i="21"/>
  <c r="L21" i="21" l="1"/>
  <c r="Q7" i="21"/>
  <c r="S7" i="21" s="1"/>
  <c r="R81" i="16"/>
  <c r="Q8" i="21" s="1"/>
  <c r="L19" i="21"/>
  <c r="R80" i="6"/>
  <c r="R82" i="6" s="1"/>
  <c r="F5" i="21"/>
  <c r="G79" i="16"/>
  <c r="F79" i="16"/>
  <c r="F81" i="16" s="1"/>
  <c r="E8" i="21" s="1"/>
  <c r="S80" i="6"/>
  <c r="U29" i="17"/>
  <c r="Q14" i="21"/>
  <c r="S82" i="17"/>
  <c r="Q15" i="21" s="1"/>
  <c r="S28" i="6"/>
  <c r="I78" i="6"/>
  <c r="I80" i="6" s="1"/>
  <c r="P13" i="21"/>
  <c r="L79" i="16"/>
  <c r="J7" i="21"/>
  <c r="K81" i="16"/>
  <c r="J8" i="21" s="1"/>
  <c r="J78" i="6"/>
  <c r="J80" i="6" s="1"/>
  <c r="P14" i="21"/>
  <c r="J81" i="16"/>
  <c r="I8" i="21" s="1"/>
  <c r="P81" i="16"/>
  <c r="Q18" i="6"/>
  <c r="Q78" i="6" s="1"/>
  <c r="O19" i="21" s="1"/>
  <c r="S19" i="21" s="1"/>
  <c r="E21" i="21"/>
  <c r="F19" i="21"/>
  <c r="F14" i="21"/>
  <c r="E14" i="21"/>
  <c r="B14" i="21"/>
  <c r="B15" i="21"/>
  <c r="H14" i="21"/>
  <c r="J82" i="17"/>
  <c r="H15" i="21" s="1"/>
  <c r="C14" i="21"/>
  <c r="C15" i="21"/>
  <c r="D15" i="21"/>
  <c r="D14" i="21"/>
  <c r="I81" i="16"/>
  <c r="H8" i="21" s="1"/>
  <c r="J21" i="21"/>
  <c r="L82" i="6"/>
  <c r="J22" i="21" s="1"/>
  <c r="H79" i="16"/>
  <c r="G7" i="21" s="1"/>
  <c r="H82" i="6"/>
  <c r="F22" i="21" s="1"/>
  <c r="F21" i="21"/>
  <c r="N14" i="21"/>
  <c r="P82" i="17"/>
  <c r="N15" i="21" s="1"/>
  <c r="O13" i="21"/>
  <c r="O14" i="21"/>
  <c r="S82" i="6" l="1"/>
  <c r="Q22" i="21" s="1"/>
  <c r="S13" i="21"/>
  <c r="K7" i="21"/>
  <c r="L81" i="16"/>
  <c r="K8" i="21" s="1"/>
  <c r="G19" i="21"/>
  <c r="P22" i="21"/>
  <c r="P21" i="21"/>
  <c r="F7" i="21"/>
  <c r="G81" i="16"/>
  <c r="F8" i="21" s="1"/>
  <c r="E7" i="21"/>
  <c r="Q21" i="21"/>
  <c r="S29" i="6"/>
  <c r="S14" i="21"/>
  <c r="O8" i="21"/>
  <c r="S8" i="21" s="1"/>
  <c r="H19" i="21"/>
  <c r="K14" i="1"/>
  <c r="G14" i="1"/>
  <c r="R82" i="17"/>
  <c r="P15" i="21" s="1"/>
  <c r="S15" i="21" s="1"/>
  <c r="E7" i="4"/>
  <c r="E11" i="4" s="1"/>
  <c r="Q80" i="6"/>
  <c r="Q82" i="6" s="1"/>
  <c r="O22" i="21" s="1"/>
  <c r="H21" i="21"/>
  <c r="J82" i="6"/>
  <c r="H22" i="21" s="1"/>
  <c r="H81" i="16"/>
  <c r="G8" i="21" s="1"/>
  <c r="I82" i="6"/>
  <c r="G22" i="21" s="1"/>
  <c r="G21" i="21"/>
  <c r="E12" i="4" l="1"/>
  <c r="E14" i="4" s="1"/>
  <c r="S22" i="21"/>
  <c r="S30" i="6"/>
  <c r="U31" i="17"/>
  <c r="O21" i="21"/>
  <c r="S31" i="6" l="1"/>
  <c r="U32" i="17"/>
  <c r="S32" i="6" l="1"/>
  <c r="U33" i="17"/>
  <c r="S33" i="6" l="1"/>
  <c r="U34" i="17"/>
  <c r="P20" i="21"/>
  <c r="S20" i="21" s="1"/>
  <c r="S34" i="6" l="1"/>
  <c r="U35" i="17"/>
  <c r="S21" i="21"/>
  <c r="S35" i="6" l="1"/>
  <c r="U36" i="17"/>
  <c r="O14" i="1"/>
  <c r="U37" i="17" l="1"/>
  <c r="S36" i="6"/>
  <c r="U38" i="17" l="1"/>
  <c r="S37" i="6"/>
  <c r="S38" i="6" l="1"/>
  <c r="S39" i="6" l="1"/>
  <c r="S40" i="6"/>
  <c r="S41" i="6" l="1"/>
  <c r="S42" i="6"/>
  <c r="S43" i="6" l="1"/>
  <c r="S45" i="6" l="1"/>
  <c r="S44" i="6"/>
  <c r="S46" i="6"/>
  <c r="S47" i="6" l="1"/>
  <c r="T79" i="16"/>
  <c r="T81" i="16" s="1"/>
  <c r="S48" i="6" l="1"/>
  <c r="S49" i="6" l="1"/>
  <c r="S50" i="6" l="1"/>
  <c r="S51" i="6" l="1"/>
  <c r="S52" i="6"/>
  <c r="S53" i="6" l="1"/>
  <c r="S54" i="6" l="1"/>
  <c r="S55" i="6" l="1"/>
  <c r="S56" i="6" l="1"/>
  <c r="S57" i="6" l="1"/>
  <c r="S58" i="6" l="1"/>
  <c r="S59" i="6" l="1"/>
  <c r="S60" i="6" l="1"/>
  <c r="S61" i="6" l="1"/>
  <c r="S62" i="6" l="1"/>
  <c r="S63" i="6" l="1"/>
  <c r="S64" i="6" l="1"/>
  <c r="S65" i="6" l="1"/>
  <c r="S67" i="6" l="1"/>
  <c r="S66" i="6"/>
  <c r="S68" i="6" l="1"/>
  <c r="S6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<sst xmlns="http://schemas.openxmlformats.org/spreadsheetml/2006/main" count="337" uniqueCount="128">
  <si>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</si>
  <si>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</si>
  <si>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</si>
  <si>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</si>
  <si>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</si>
  <si>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</si>
  <si>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</si>
  <si>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</si>
  <si>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</si>
  <si>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NOK 6de produksieskatting (ton)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</si>
  <si>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</si>
  <si>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</si>
  <si>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</si>
  <si>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</si>
  <si>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</si>
  <si>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</si>
  <si>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</si>
  <si>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</si>
  <si>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</si>
  <si>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</si>
  <si>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</si>
  <si>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</si>
  <si>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</si>
  <si>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</si>
  <si>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</si>
  <si>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</si>
  <si>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</si>
  <si>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</si>
  <si>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</si>
  <si>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</si>
  <si>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</si>
  <si>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</si>
  <si>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</si>
  <si>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</si>
  <si>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</si>
  <si>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</si>
  <si>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</si>
  <si>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</si>
  <si>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</si>
  <si>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</si>
  <si>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</si>
  <si>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</si>
  <si>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</si>
  <si>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</si>
  <si>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</si>
  <si>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</si>
  <si>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</si>
  <si>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</si>
  <si>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</si>
  <si>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</si>
  <si>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</si>
  <si>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</si>
  <si>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</si>
  <si>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</si>
  <si>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</si>
  <si>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</si>
  <si>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</si>
  <si>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</si>
  <si>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</si>
  <si>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</si>
  <si>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</si>
  <si>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</si>
  <si>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</si>
  <si>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</si>
  <si>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</si>
  <si>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</si>
  <si>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</si>
  <si>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</si>
  <si>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</si>
  <si>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</si>
  <si>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</si>
  <si>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</si>
  <si>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</si>
  <si>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</si>
  <si>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</si>
  <si>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</si>
  <si>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</si>
  <si>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</si>
  <si>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</si>
  <si>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</si>
  <si>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</si>
  <si>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</si>
  <si>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</si>
  <si>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</si>
  <si>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</si>
  <si>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</si>
  <si>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</si>
  <si>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</si>
  <si>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</si>
  <si>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</si>
  <si>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</si>
  <si>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</si>
  <si>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</si>
  <si>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</si>
  <si>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</si>
  <si>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</si>
  <si>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</si>
  <si>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</si>
  <si>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</si>
  <si>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</si>
  <si>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</si>
  <si>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</si>
  <si>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</si>
  <si>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</si>
  <si>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</si>
  <si>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</si>
  <si>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</si>
  <si>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</si>
  <si>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</si>
  <si>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</si>
  <si>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</si>
  <si>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</si>
  <si>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</si>
  <si>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</si>
  <si>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</si>
  <si>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</si>
  <si>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</si>
  <si>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</si>
  <si>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</si>
  <si>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</si>
  <si>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</si>
  <si>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</si>
  <si>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2024/25 bemarkingsjaar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</si>
  <si>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</si>
  <si>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</si>
  <si>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</si>
  <si>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</si>
  <si>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9de production estimate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</si>
</sst>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6" fillId="0" borderId="23" xfId="24" applyNumberFormat="1" applyFont="1" applyBorder="1"/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2" fillId="8" borderId="97" xfId="23" applyFont="1" applyFill="1" applyBorder="1"/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7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chartsheet" Target="chartsheets/sheet11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394391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476993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194969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45441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38307</c:v>
                </c:pt>
                <c:pt idx="22">
                  <c:v>31989</c:v>
                </c:pt>
                <c:pt idx="23">
                  <c:v>37430</c:v>
                </c:pt>
                <c:pt idx="24">
                  <c:v>31344</c:v>
                </c:pt>
                <c:pt idx="25">
                  <c:v>23358</c:v>
                </c:pt>
                <c:pt idx="26">
                  <c:v>23268</c:v>
                </c:pt>
                <c:pt idx="27">
                  <c:v>26276</c:v>
                </c:pt>
                <c:pt idx="28">
                  <c:v>16716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325480.59999999998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550958.4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510829.8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171025.6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65863.8</c:v>
                </c:pt>
                <c:pt idx="23">
                  <c:v>22886.6</c:v>
                </c:pt>
                <c:pt idx="24">
                  <c:v>28086.400000000001</c:v>
                </c:pt>
                <c:pt idx="25">
                  <c:v>23325</c:v>
                </c:pt>
                <c:pt idx="26">
                  <c:v>30209.200000000001</c:v>
                </c:pt>
                <c:pt idx="27">
                  <c:v>30751.200000000001</c:v>
                </c:pt>
                <c:pt idx="28">
                  <c:v>16398.8</c:v>
                </c:pt>
                <c:pt idx="29">
                  <c:v>13403.6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10560697</c:v>
                </c:pt>
                <c:pt idx="1">
                  <c:v>10111706</c:v>
                </c:pt>
                <c:pt idx="2">
                  <c:v>12777922</c:v>
                </c:pt>
                <c:pt idx="3">
                  <c:v>8573837</c:v>
                </c:pt>
                <c:pt idx="4">
                  <c:v>6295380</c:v>
                </c:pt>
                <c:pt idx="5">
                  <c:v>14972363</c:v>
                </c:pt>
                <c:pt idx="6">
                  <c:v>11417329</c:v>
                </c:pt>
                <c:pt idx="7">
                  <c:v>10165134</c:v>
                </c:pt>
                <c:pt idx="8">
                  <c:v>13908696</c:v>
                </c:pt>
                <c:pt idx="9">
                  <c:v>14292567</c:v>
                </c:pt>
                <c:pt idx="10">
                  <c:v>13916971</c:v>
                </c:pt>
                <c:pt idx="11">
                  <c:v>14449445</c:v>
                </c:pt>
                <c:pt idx="12">
                  <c:v>10318504</c:v>
                </c:pt>
                <c:pt idx="13">
                  <c:v>12638378.000000004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11314140</c:v>
                </c:pt>
                <c:pt idx="1">
                  <c:v>10537740</c:v>
                </c:pt>
                <c:pt idx="2">
                  <c:v>13256706</c:v>
                </c:pt>
                <c:pt idx="3">
                  <c:v>9115793</c:v>
                </c:pt>
                <c:pt idx="4">
                  <c:v>7116388</c:v>
                </c:pt>
                <c:pt idx="5">
                  <c:v>15776556</c:v>
                </c:pt>
                <c:pt idx="6">
                  <c:v>11657246</c:v>
                </c:pt>
                <c:pt idx="7">
                  <c:v>10432077</c:v>
                </c:pt>
                <c:pt idx="8">
                  <c:v>14256428</c:v>
                </c:pt>
                <c:pt idx="9">
                  <c:v>15249874</c:v>
                </c:pt>
                <c:pt idx="10">
                  <c:v>14331019</c:v>
                </c:pt>
                <c:pt idx="11">
                  <c:v>15152944</c:v>
                </c:pt>
                <c:pt idx="12">
                  <c:v>11426162</c:v>
                </c:pt>
                <c:pt idx="13">
                  <c:v>13126619.000000004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0.96808557243490445</c:v>
                </c:pt>
                <c:pt idx="1">
                  <c:v>0.92820715684929933</c:v>
                </c:pt>
                <c:pt idx="2">
                  <c:v>0.96550393584314576</c:v>
                </c:pt>
                <c:pt idx="3" formatCode="0.0%">
                  <c:v>0.96133106669464807</c:v>
                </c:pt>
                <c:pt idx="4" formatCode="0.0%">
                  <c:v>0.95511935388275915</c:v>
                </c:pt>
                <c:pt idx="5" formatCode="0.0%">
                  <c:v>0.97152263070386102</c:v>
                </c:pt>
                <c:pt idx="6" formatCode="0.0%">
                  <c:v>0.97468612040133784</c:v>
                </c:pt>
                <c:pt idx="7" formatCode="0.0%">
                  <c:v>0.96907357176033437</c:v>
                </c:pt>
                <c:pt idx="8">
                  <c:v>0.96569880666350105</c:v>
                </c:pt>
                <c:pt idx="9">
                  <c:v>0.97188668663565103</c:v>
                </c:pt>
                <c:pt idx="10">
                  <c:v>0.96161974099174663</c:v>
                </c:pt>
                <c:pt idx="11">
                  <c:v>0.95994475846875793</c:v>
                </c:pt>
                <c:pt idx="12" formatCode="0.0%">
                  <c:v>0.92865048500290559</c:v>
                </c:pt>
                <c:pt idx="13">
                  <c:v>0.91274928802167987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9453000</c:v>
                </c:pt>
                <c:pt idx="1">
                  <c:v>10560697</c:v>
                </c:pt>
                <c:pt idx="2">
                  <c:v>10111706</c:v>
                </c:pt>
                <c:pt idx="3">
                  <c:v>12777922</c:v>
                </c:pt>
                <c:pt idx="4">
                  <c:v>8573837</c:v>
                </c:pt>
                <c:pt idx="5">
                  <c:v>6295380</c:v>
                </c:pt>
                <c:pt idx="6">
                  <c:v>14972363</c:v>
                </c:pt>
                <c:pt idx="7">
                  <c:v>11417329</c:v>
                </c:pt>
                <c:pt idx="8">
                  <c:v>10165134</c:v>
                </c:pt>
                <c:pt idx="9">
                  <c:v>13908696</c:v>
                </c:pt>
                <c:pt idx="10">
                  <c:v>14292567</c:v>
                </c:pt>
                <c:pt idx="11">
                  <c:v>13916971</c:v>
                </c:pt>
                <c:pt idx="12">
                  <c:v>14449445</c:v>
                </c:pt>
                <c:pt idx="13">
                  <c:v>10318504</c:v>
                </c:pt>
                <c:pt idx="14">
                  <c:v>12638378.000000004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9635240</c:v>
                </c:pt>
                <c:pt idx="1">
                  <c:v>11314140</c:v>
                </c:pt>
                <c:pt idx="2">
                  <c:v>10537740</c:v>
                </c:pt>
                <c:pt idx="3">
                  <c:v>13256706</c:v>
                </c:pt>
                <c:pt idx="4">
                  <c:v>9115793</c:v>
                </c:pt>
                <c:pt idx="5">
                  <c:v>7116388</c:v>
                </c:pt>
                <c:pt idx="6">
                  <c:v>15776556</c:v>
                </c:pt>
                <c:pt idx="7">
                  <c:v>11657246</c:v>
                </c:pt>
                <c:pt idx="8">
                  <c:v>10432077</c:v>
                </c:pt>
                <c:pt idx="9">
                  <c:v>14256428</c:v>
                </c:pt>
                <c:pt idx="10">
                  <c:v>15249874</c:v>
                </c:pt>
                <c:pt idx="11">
                  <c:v>14331019</c:v>
                </c:pt>
                <c:pt idx="12">
                  <c:v>15152944</c:v>
                </c:pt>
                <c:pt idx="13">
                  <c:v>11426162</c:v>
                </c:pt>
                <c:pt idx="14">
                  <c:v>13126619.000000004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0.97464232984190446</c:v>
                </c:pt>
                <c:pt idx="1">
                  <c:v>0.96808557243490445</c:v>
                </c:pt>
                <c:pt idx="2">
                  <c:v>0.92820715684929933</c:v>
                </c:pt>
                <c:pt idx="3">
                  <c:v>0.96550393584314576</c:v>
                </c:pt>
                <c:pt idx="4" formatCode="0.0%">
                  <c:v>0.96133106669464807</c:v>
                </c:pt>
                <c:pt idx="5" formatCode="0.0%">
                  <c:v>0.95511935388275915</c:v>
                </c:pt>
                <c:pt idx="6" formatCode="0.0%">
                  <c:v>0.97152263070386102</c:v>
                </c:pt>
                <c:pt idx="7" formatCode="0.0%">
                  <c:v>0.97468612040133784</c:v>
                </c:pt>
                <c:pt idx="8" formatCode="0.0%">
                  <c:v>0.96907357176033437</c:v>
                </c:pt>
                <c:pt idx="9">
                  <c:v>0.96569880666350105</c:v>
                </c:pt>
                <c:pt idx="10">
                  <c:v>0.97188668663565103</c:v>
                </c:pt>
                <c:pt idx="11">
                  <c:v>0.96161974099174663</c:v>
                </c:pt>
                <c:pt idx="12">
                  <c:v>0.95994475846875793</c:v>
                </c:pt>
                <c:pt idx="13" formatCode="0.0%">
                  <c:v>0.92865048500290559</c:v>
                </c:pt>
                <c:pt idx="14">
                  <c:v>0.91274928802167987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6"/>
                <c:pt idx="0">
                  <c:v>0.96348095599853056</c:v>
                </c:pt>
                <c:pt idx="1">
                  <c:v>0.9767127887592284</c:v>
                </c:pt>
                <c:pt idx="2">
                  <c:v>0.9600179851427082</c:v>
                </c:pt>
                <c:pt idx="3">
                  <c:v>0.96378198338798049</c:v>
                </c:pt>
                <c:pt idx="4">
                  <c:v>0.94233260559385257</c:v>
                </c:pt>
                <c:pt idx="5">
                  <c:v>0.96126526377645993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6"/>
                <c:pt idx="0">
                  <c:v>0.96903015035818307</c:v>
                </c:pt>
                <c:pt idx="1">
                  <c:v>0.96653996983408752</c:v>
                </c:pt>
                <c:pt idx="2">
                  <c:v>0.96331964038727524</c:v>
                </c:pt>
                <c:pt idx="3">
                  <c:v>0.96018678518899547</c:v>
                </c:pt>
                <c:pt idx="4">
                  <c:v>0.94403147555562616</c:v>
                </c:pt>
                <c:pt idx="5">
                  <c:v>0.96062160426483345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6"/>
                <c:pt idx="0">
                  <c:v>0.96569880666350105</c:v>
                </c:pt>
                <c:pt idx="1">
                  <c:v>0.97188668663565103</c:v>
                </c:pt>
                <c:pt idx="2">
                  <c:v>0.96161974099174663</c:v>
                </c:pt>
                <c:pt idx="3">
                  <c:v>0.95994475846875793</c:v>
                </c:pt>
                <c:pt idx="4">
                  <c:v>0.92865048500290559</c:v>
                </c:pt>
                <c:pt idx="5">
                  <c:v>0.95756009555251254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559339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348386</c:v>
                </c:pt>
                <c:pt idx="9">
                  <c:v>176289</c:v>
                </c:pt>
                <c:pt idx="10">
                  <c:v>140166</c:v>
                </c:pt>
                <c:pt idx="11">
                  <c:v>105864</c:v>
                </c:pt>
                <c:pt idx="12">
                  <c:v>103533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45999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37508</c:v>
                </c:pt>
                <c:pt idx="22">
                  <c:v>25760</c:v>
                </c:pt>
                <c:pt idx="23">
                  <c:v>29362</c:v>
                </c:pt>
                <c:pt idx="24">
                  <c:v>23616</c:v>
                </c:pt>
                <c:pt idx="25">
                  <c:v>26127</c:v>
                </c:pt>
                <c:pt idx="26">
                  <c:v>23509</c:v>
                </c:pt>
                <c:pt idx="27">
                  <c:v>18236</c:v>
                </c:pt>
                <c:pt idx="28">
                  <c:v>15720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394391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476993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194969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45441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38307</c:v>
                </c:pt>
                <c:pt idx="22">
                  <c:v>31989</c:v>
                </c:pt>
                <c:pt idx="23">
                  <c:v>37430</c:v>
                </c:pt>
                <c:pt idx="24">
                  <c:v>31344</c:v>
                </c:pt>
                <c:pt idx="25">
                  <c:v>23358</c:v>
                </c:pt>
                <c:pt idx="26">
                  <c:v>23268</c:v>
                </c:pt>
                <c:pt idx="27">
                  <c:v>26276</c:v>
                </c:pt>
                <c:pt idx="28">
                  <c:v>16716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559339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348386</c:v>
                </c:pt>
                <c:pt idx="9">
                  <c:v>176289</c:v>
                </c:pt>
                <c:pt idx="10">
                  <c:v>140166</c:v>
                </c:pt>
                <c:pt idx="11">
                  <c:v>105864</c:v>
                </c:pt>
                <c:pt idx="12">
                  <c:v>103533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45999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37508</c:v>
                </c:pt>
                <c:pt idx="22">
                  <c:v>25760</c:v>
                </c:pt>
                <c:pt idx="23">
                  <c:v>29362</c:v>
                </c:pt>
                <c:pt idx="24">
                  <c:v>23616</c:v>
                </c:pt>
                <c:pt idx="25">
                  <c:v>26127</c:v>
                </c:pt>
                <c:pt idx="26">
                  <c:v>23509</c:v>
                </c:pt>
                <c:pt idx="27">
                  <c:v>18236</c:v>
                </c:pt>
                <c:pt idx="28">
                  <c:v>15720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995941</c:v>
                </c:pt>
                <c:pt idx="3">
                  <c:v>1169048</c:v>
                </c:pt>
                <c:pt idx="4">
                  <c:v>953730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825379</c:v>
                </c:pt>
                <c:pt idx="9">
                  <c:v>541739</c:v>
                </c:pt>
                <c:pt idx="10">
                  <c:v>473316</c:v>
                </c:pt>
                <c:pt idx="11">
                  <c:v>361618</c:v>
                </c:pt>
                <c:pt idx="12">
                  <c:v>298502</c:v>
                </c:pt>
                <c:pt idx="13">
                  <c:v>152372</c:v>
                </c:pt>
                <c:pt idx="14">
                  <c:v>98281</c:v>
                </c:pt>
                <c:pt idx="15">
                  <c:v>98140</c:v>
                </c:pt>
                <c:pt idx="16">
                  <c:v>70656</c:v>
                </c:pt>
                <c:pt idx="17">
                  <c:v>91440</c:v>
                </c:pt>
                <c:pt idx="18">
                  <c:v>63544</c:v>
                </c:pt>
                <c:pt idx="19">
                  <c:v>62953</c:v>
                </c:pt>
                <c:pt idx="20">
                  <c:v>59933</c:v>
                </c:pt>
                <c:pt idx="21">
                  <c:v>75815</c:v>
                </c:pt>
                <c:pt idx="22">
                  <c:v>57749</c:v>
                </c:pt>
                <c:pt idx="23">
                  <c:v>66792</c:v>
                </c:pt>
                <c:pt idx="24">
                  <c:v>54960</c:v>
                </c:pt>
                <c:pt idx="25">
                  <c:v>49485</c:v>
                </c:pt>
                <c:pt idx="26">
                  <c:v>46777</c:v>
                </c:pt>
                <c:pt idx="27">
                  <c:v>44512</c:v>
                </c:pt>
                <c:pt idx="28">
                  <c:v>32436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442318.71428571426</c:v>
                </c:pt>
                <c:pt idx="3">
                  <c:v>816031.42857142852</c:v>
                </c:pt>
                <c:pt idx="4">
                  <c:v>621399.28571428568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1051628</c:v>
                </c:pt>
                <c:pt idx="9">
                  <c:v>835414.71428571432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997321.85714285716</c:v>
                </c:pt>
                <c:pt idx="13">
                  <c:v>570084.14285714284</c:v>
                </c:pt>
                <c:pt idx="14">
                  <c:v>485659.14285714284</c:v>
                </c:pt>
                <c:pt idx="15">
                  <c:v>400009</c:v>
                </c:pt>
                <c:pt idx="16">
                  <c:v>350658.71428571426</c:v>
                </c:pt>
                <c:pt idx="17">
                  <c:v>332622</c:v>
                </c:pt>
                <c:pt idx="18">
                  <c:v>98357.142857142855</c:v>
                </c:pt>
                <c:pt idx="19">
                  <c:v>82928.428571428565</c:v>
                </c:pt>
                <c:pt idx="20">
                  <c:v>79632.142857142855</c:v>
                </c:pt>
                <c:pt idx="21">
                  <c:v>128663.14285714286</c:v>
                </c:pt>
                <c:pt idx="22">
                  <c:v>37860.714285714283</c:v>
                </c:pt>
                <c:pt idx="23">
                  <c:v>42955.714285714283</c:v>
                </c:pt>
                <c:pt idx="24">
                  <c:v>36873.714285714283</c:v>
                </c:pt>
                <c:pt idx="25">
                  <c:v>80622.571428571435</c:v>
                </c:pt>
                <c:pt idx="26">
                  <c:v>40209.428571428572</c:v>
                </c:pt>
                <c:pt idx="27">
                  <c:v>24931.428571428572</c:v>
                </c:pt>
                <c:pt idx="28">
                  <c:v>21643.285714285714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1634530</c:v>
                </c:pt>
                <c:pt idx="5">
                  <c:v>2027361</c:v>
                </c:pt>
                <c:pt idx="6">
                  <c:v>2483415</c:v>
                </c:pt>
                <c:pt idx="7">
                  <c:v>2883060</c:v>
                </c:pt>
                <c:pt idx="8">
                  <c:v>3360053</c:v>
                </c:pt>
                <c:pt idx="9">
                  <c:v>3725503</c:v>
                </c:pt>
                <c:pt idx="10">
                  <c:v>4058653</c:v>
                </c:pt>
                <c:pt idx="11">
                  <c:v>4314407</c:v>
                </c:pt>
                <c:pt idx="12">
                  <c:v>4509376</c:v>
                </c:pt>
                <c:pt idx="13">
                  <c:v>4603694</c:v>
                </c:pt>
                <c:pt idx="14">
                  <c:v>4660484</c:v>
                </c:pt>
                <c:pt idx="15">
                  <c:v>4712592</c:v>
                </c:pt>
                <c:pt idx="16">
                  <c:v>4750920</c:v>
                </c:pt>
                <c:pt idx="17">
                  <c:v>4796361</c:v>
                </c:pt>
                <c:pt idx="18">
                  <c:v>4830410</c:v>
                </c:pt>
                <c:pt idx="19">
                  <c:v>4863924</c:v>
                </c:pt>
                <c:pt idx="20">
                  <c:v>4897655</c:v>
                </c:pt>
                <c:pt idx="21">
                  <c:v>4935962</c:v>
                </c:pt>
                <c:pt idx="22">
                  <c:v>4967951</c:v>
                </c:pt>
                <c:pt idx="23">
                  <c:v>5005381</c:v>
                </c:pt>
                <c:pt idx="24">
                  <c:v>5036725</c:v>
                </c:pt>
                <c:pt idx="25">
                  <c:v>5060083</c:v>
                </c:pt>
                <c:pt idx="26">
                  <c:v>5083351</c:v>
                </c:pt>
                <c:pt idx="27">
                  <c:v>5109627</c:v>
                </c:pt>
                <c:pt idx="28">
                  <c:v>5126343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1318636</c:v>
                </c:pt>
                <c:pt idx="3">
                  <c:v>2015940</c:v>
                </c:pt>
                <c:pt idx="4">
                  <c:v>2575279</c:v>
                </c:pt>
                <c:pt idx="5">
                  <c:v>3074798</c:v>
                </c:pt>
                <c:pt idx="6">
                  <c:v>3557474</c:v>
                </c:pt>
                <c:pt idx="7">
                  <c:v>3885993</c:v>
                </c:pt>
                <c:pt idx="8">
                  <c:v>4234379</c:v>
                </c:pt>
                <c:pt idx="9">
                  <c:v>4410668</c:v>
                </c:pt>
                <c:pt idx="10">
                  <c:v>4550834</c:v>
                </c:pt>
                <c:pt idx="11">
                  <c:v>4656698</c:v>
                </c:pt>
                <c:pt idx="12">
                  <c:v>4760231</c:v>
                </c:pt>
                <c:pt idx="13">
                  <c:v>4818285</c:v>
                </c:pt>
                <c:pt idx="14">
                  <c:v>4859776</c:v>
                </c:pt>
                <c:pt idx="15">
                  <c:v>4905808</c:v>
                </c:pt>
                <c:pt idx="16">
                  <c:v>4938136</c:v>
                </c:pt>
                <c:pt idx="17">
                  <c:v>4984135</c:v>
                </c:pt>
                <c:pt idx="18">
                  <c:v>5013630</c:v>
                </c:pt>
                <c:pt idx="19">
                  <c:v>5043069</c:v>
                </c:pt>
                <c:pt idx="20">
                  <c:v>5069271</c:v>
                </c:pt>
                <c:pt idx="21">
                  <c:v>5106779</c:v>
                </c:pt>
                <c:pt idx="22">
                  <c:v>5132539</c:v>
                </c:pt>
                <c:pt idx="23">
                  <c:v>5161901</c:v>
                </c:pt>
                <c:pt idx="24">
                  <c:v>5185517</c:v>
                </c:pt>
                <c:pt idx="25">
                  <c:v>5211644</c:v>
                </c:pt>
                <c:pt idx="26">
                  <c:v>5235153</c:v>
                </c:pt>
                <c:pt idx="27">
                  <c:v>5253389</c:v>
                </c:pt>
                <c:pt idx="28">
                  <c:v>5269109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313834</c:v>
                </c:pt>
                <c:pt idx="1">
                  <c:v>1091191</c:v>
                </c:pt>
                <c:pt idx="2">
                  <c:v>2087169</c:v>
                </c:pt>
                <c:pt idx="3">
                  <c:v>3256125</c:v>
                </c:pt>
                <c:pt idx="4">
                  <c:v>4209654</c:v>
                </c:pt>
                <c:pt idx="5">
                  <c:v>5101703</c:v>
                </c:pt>
                <c:pt idx="6">
                  <c:v>6040468</c:v>
                </c:pt>
                <c:pt idx="7">
                  <c:v>6766642</c:v>
                </c:pt>
                <c:pt idx="8">
                  <c:v>7588964</c:v>
                </c:pt>
                <c:pt idx="9">
                  <c:v>8132098</c:v>
                </c:pt>
                <c:pt idx="10">
                  <c:v>8605716</c:v>
                </c:pt>
                <c:pt idx="11">
                  <c:v>8965945</c:v>
                </c:pt>
                <c:pt idx="12">
                  <c:v>9237376</c:v>
                </c:pt>
                <c:pt idx="13">
                  <c:v>9388058</c:v>
                </c:pt>
                <c:pt idx="14">
                  <c:v>9486691</c:v>
                </c:pt>
                <c:pt idx="15">
                  <c:v>9582214</c:v>
                </c:pt>
                <c:pt idx="16">
                  <c:v>9652870</c:v>
                </c:pt>
                <c:pt idx="17">
                  <c:v>9744310</c:v>
                </c:pt>
                <c:pt idx="18">
                  <c:v>9807854</c:v>
                </c:pt>
                <c:pt idx="19">
                  <c:v>9870807</c:v>
                </c:pt>
                <c:pt idx="20">
                  <c:v>9930740</c:v>
                </c:pt>
                <c:pt idx="21">
                  <c:v>10006555</c:v>
                </c:pt>
                <c:pt idx="22">
                  <c:v>10064304</c:v>
                </c:pt>
                <c:pt idx="23">
                  <c:v>10131096</c:v>
                </c:pt>
                <c:pt idx="24">
                  <c:v>10186056</c:v>
                </c:pt>
                <c:pt idx="25">
                  <c:v>10235541</c:v>
                </c:pt>
                <c:pt idx="26">
                  <c:v>10282318</c:v>
                </c:pt>
                <c:pt idx="27">
                  <c:v>10326830</c:v>
                </c:pt>
                <c:pt idx="28">
                  <c:v>10359266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10560697</c:v>
                </c:pt>
                <c:pt idx="1">
                  <c:v>10111706</c:v>
                </c:pt>
                <c:pt idx="2">
                  <c:v>12777922</c:v>
                </c:pt>
                <c:pt idx="3">
                  <c:v>8573837</c:v>
                </c:pt>
                <c:pt idx="4">
                  <c:v>6295380</c:v>
                </c:pt>
                <c:pt idx="5">
                  <c:v>14972363</c:v>
                </c:pt>
                <c:pt idx="6">
                  <c:v>11417329</c:v>
                </c:pt>
                <c:pt idx="7">
                  <c:v>10165134</c:v>
                </c:pt>
                <c:pt idx="8">
                  <c:v>13908696</c:v>
                </c:pt>
                <c:pt idx="9">
                  <c:v>14292567</c:v>
                </c:pt>
                <c:pt idx="10">
                  <c:v>13916971</c:v>
                </c:pt>
                <c:pt idx="11">
                  <c:v>14449445</c:v>
                </c:pt>
                <c:pt idx="12">
                  <c:v>10318504</c:v>
                </c:pt>
                <c:pt idx="13">
                  <c:v>12638378.000000004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11314140</c:v>
                </c:pt>
                <c:pt idx="1">
                  <c:v>10537740</c:v>
                </c:pt>
                <c:pt idx="2">
                  <c:v>13256706</c:v>
                </c:pt>
                <c:pt idx="3">
                  <c:v>9115793</c:v>
                </c:pt>
                <c:pt idx="4">
                  <c:v>7116388</c:v>
                </c:pt>
                <c:pt idx="5">
                  <c:v>15776556</c:v>
                </c:pt>
                <c:pt idx="6">
                  <c:v>11657246</c:v>
                </c:pt>
                <c:pt idx="7">
                  <c:v>10432077</c:v>
                </c:pt>
                <c:pt idx="8">
                  <c:v>14256428</c:v>
                </c:pt>
                <c:pt idx="9">
                  <c:v>15249874</c:v>
                </c:pt>
                <c:pt idx="10">
                  <c:v>14331019</c:v>
                </c:pt>
                <c:pt idx="11">
                  <c:v>15152944</c:v>
                </c:pt>
                <c:pt idx="12">
                  <c:v>11426162</c:v>
                </c:pt>
                <c:pt idx="13">
                  <c:v>13126619.000000004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0.96808557243490445</c:v>
                </c:pt>
                <c:pt idx="1">
                  <c:v>0.92820715684929933</c:v>
                </c:pt>
                <c:pt idx="2">
                  <c:v>0.96550393584314576</c:v>
                </c:pt>
                <c:pt idx="3" formatCode="0.0%">
                  <c:v>0.96133106669464807</c:v>
                </c:pt>
                <c:pt idx="4" formatCode="0.0%">
                  <c:v>0.95511935388275915</c:v>
                </c:pt>
                <c:pt idx="5" formatCode="0.0%">
                  <c:v>0.97152263070386102</c:v>
                </c:pt>
                <c:pt idx="6" formatCode="0.0%">
                  <c:v>0.97468612040133784</c:v>
                </c:pt>
                <c:pt idx="7" formatCode="0.0%">
                  <c:v>0.96907357176033437</c:v>
                </c:pt>
                <c:pt idx="8">
                  <c:v>0.96569880666350105</c:v>
                </c:pt>
                <c:pt idx="9">
                  <c:v>0.97188668663565103</c:v>
                </c:pt>
                <c:pt idx="10">
                  <c:v>0.96161974099174663</c:v>
                </c:pt>
                <c:pt idx="11">
                  <c:v>0.95994475846875793</c:v>
                </c:pt>
                <c:pt idx="12" formatCode="0.0%">
                  <c:v>0.92865048500290559</c:v>
                </c:pt>
                <c:pt idx="13">
                  <c:v>0.91274928802167987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10560697</c:v>
                </c:pt>
                <c:pt idx="1">
                  <c:v>10111706</c:v>
                </c:pt>
                <c:pt idx="2">
                  <c:v>12777922</c:v>
                </c:pt>
                <c:pt idx="3">
                  <c:v>8573837</c:v>
                </c:pt>
                <c:pt idx="4">
                  <c:v>6295380</c:v>
                </c:pt>
                <c:pt idx="5">
                  <c:v>14972363</c:v>
                </c:pt>
                <c:pt idx="6">
                  <c:v>6101702</c:v>
                </c:pt>
                <c:pt idx="7">
                  <c:v>5129093</c:v>
                </c:pt>
                <c:pt idx="8">
                  <c:v>7972896</c:v>
                </c:pt>
                <c:pt idx="9">
                  <c:v>7765398</c:v>
                </c:pt>
                <c:pt idx="10">
                  <c:v>7225030</c:v>
                </c:pt>
                <c:pt idx="11">
                  <c:v>7790695</c:v>
                </c:pt>
                <c:pt idx="12">
                  <c:v>5083351</c:v>
                </c:pt>
                <c:pt idx="13">
                  <c:v>7167474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11071095</c:v>
                </c:pt>
                <c:pt idx="1">
                  <c:v>10381483</c:v>
                </c:pt>
                <c:pt idx="2">
                  <c:v>13083045</c:v>
                </c:pt>
                <c:pt idx="3">
                  <c:v>8748673</c:v>
                </c:pt>
                <c:pt idx="4">
                  <c:v>6583436</c:v>
                </c:pt>
                <c:pt idx="5">
                  <c:v>15582782</c:v>
                </c:pt>
                <c:pt idx="6">
                  <c:v>6219071</c:v>
                </c:pt>
                <c:pt idx="7">
                  <c:v>5214991</c:v>
                </c:pt>
                <c:pt idx="8">
                  <c:v>8104137</c:v>
                </c:pt>
                <c:pt idx="9">
                  <c:v>8202434</c:v>
                </c:pt>
                <c:pt idx="10">
                  <c:v>7366218</c:v>
                </c:pt>
                <c:pt idx="11">
                  <c:v>7984900</c:v>
                </c:pt>
                <c:pt idx="12">
                  <c:v>5481643</c:v>
                </c:pt>
                <c:pt idx="13">
                  <c:v>7350020.4000000004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1.6306059053319959</c:v>
                </c:pt>
                <c:pt idx="1">
                  <c:v>1.8889649259496879</c:v>
                </c:pt>
                <c:pt idx="2">
                  <c:v>1.7276471317630457</c:v>
                </c:pt>
                <c:pt idx="3" formatCode="0.0%">
                  <c:v>1.891649963566701</c:v>
                </c:pt>
                <c:pt idx="4" formatCode="0.0%">
                  <c:v>1.9550223195725664</c:v>
                </c:pt>
                <c:pt idx="5" formatCode="0.0%">
                  <c:v>1.6086282646846288</c:v>
                </c:pt>
                <c:pt idx="6" formatCode="0.0%">
                  <c:v>0.94206081592835633</c:v>
                </c:pt>
                <c:pt idx="7" formatCode="0.0%">
                  <c:v>0.96842915506035288</c:v>
                </c:pt>
                <c:pt idx="8">
                  <c:v>0.96348095599853056</c:v>
                </c:pt>
                <c:pt idx="9" formatCode="0.0%">
                  <c:v>0.9767127887592284</c:v>
                </c:pt>
                <c:pt idx="10" formatCode="0.0%">
                  <c:v>0.9600179851427082</c:v>
                </c:pt>
                <c:pt idx="11" formatCode="0.0%">
                  <c:v>0.96378198338798049</c:v>
                </c:pt>
                <c:pt idx="12" formatCode="0.0%">
                  <c:v>0.94233260559385257</c:v>
                </c:pt>
                <c:pt idx="13">
                  <c:v>0.95246073054183211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4308197</c:v>
                </c:pt>
                <c:pt idx="1">
                  <c:v>5125332</c:v>
                </c:pt>
                <c:pt idx="2">
                  <c:v>5634517</c:v>
                </c:pt>
                <c:pt idx="3">
                  <c:v>4338643</c:v>
                </c:pt>
                <c:pt idx="4">
                  <c:v>3439111</c:v>
                </c:pt>
                <c:pt idx="5">
                  <c:v>6042189</c:v>
                </c:pt>
                <c:pt idx="6">
                  <c:v>5316218</c:v>
                </c:pt>
                <c:pt idx="7">
                  <c:v>5036648</c:v>
                </c:pt>
                <c:pt idx="8">
                  <c:v>5938304</c:v>
                </c:pt>
                <c:pt idx="9">
                  <c:v>6528705</c:v>
                </c:pt>
                <c:pt idx="10">
                  <c:v>6691941</c:v>
                </c:pt>
                <c:pt idx="11">
                  <c:v>6658750</c:v>
                </c:pt>
                <c:pt idx="12">
                  <c:v>5235153</c:v>
                </c:pt>
                <c:pt idx="13">
                  <c:v>6028427.666666666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4551242</c:v>
                </c:pt>
                <c:pt idx="1">
                  <c:v>5652301</c:v>
                </c:pt>
                <c:pt idx="2">
                  <c:v>5808178</c:v>
                </c:pt>
                <c:pt idx="3">
                  <c:v>4705763</c:v>
                </c:pt>
                <c:pt idx="4">
                  <c:v>3889066</c:v>
                </c:pt>
                <c:pt idx="5">
                  <c:v>6342831</c:v>
                </c:pt>
                <c:pt idx="6">
                  <c:v>5438766</c:v>
                </c:pt>
                <c:pt idx="7">
                  <c:v>5217693</c:v>
                </c:pt>
                <c:pt idx="8">
                  <c:v>6154795</c:v>
                </c:pt>
                <c:pt idx="9">
                  <c:v>7048976</c:v>
                </c:pt>
                <c:pt idx="10">
                  <c:v>6964801</c:v>
                </c:pt>
                <c:pt idx="11">
                  <c:v>7168044</c:v>
                </c:pt>
                <c:pt idx="12">
                  <c:v>5944519</c:v>
                </c:pt>
                <c:pt idx="13">
                  <c:v>6474084.0666666664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0.92928593757433531</c:v>
                </c:pt>
                <c:pt idx="1">
                  <c:v>0.96506190699531891</c:v>
                </c:pt>
                <c:pt idx="2">
                  <c:v>0.94325415308181959</c:v>
                </c:pt>
                <c:pt idx="3">
                  <c:v>0.96874637165008093</c:v>
                </c:pt>
                <c:pt idx="4">
                  <c:v>0.95242370453962155</c:v>
                </c:pt>
                <c:pt idx="5">
                  <c:v>0.96807554945054941</c:v>
                </c:pt>
                <c:pt idx="6">
                  <c:v>0.96775195729537367</c:v>
                </c:pt>
                <c:pt idx="7">
                  <c:v>0.9698314126394052</c:v>
                </c:pt>
                <c:pt idx="8" formatCode="0%">
                  <c:v>0.96903015035818307</c:v>
                </c:pt>
                <c:pt idx="9">
                  <c:v>0.96653996983408752</c:v>
                </c:pt>
                <c:pt idx="10">
                  <c:v>0.96331964038727524</c:v>
                </c:pt>
                <c:pt idx="11">
                  <c:v>0.96018678518899547</c:v>
                </c:pt>
                <c:pt idx="12">
                  <c:v>0.94403147555562616</c:v>
                </c:pt>
                <c:pt idx="13">
                  <c:v>0.93456971904471675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3"/>
      <c r="C2" s="454"/>
      <c r="D2" s="454"/>
      <c r="E2" s="454"/>
      <c r="F2" s="455"/>
      <c r="G2" s="363"/>
    </row>
    <row r="3" spans="2:8" ht="20.399999999999999" thickBot="1" x14ac:dyDescent="0.45">
      <c r="B3" s="456" t="s">
        <v>122</v>
      </c>
      <c r="C3" s="457"/>
      <c r="D3" s="457"/>
      <c r="E3" s="457"/>
      <c r="F3" s="458"/>
    </row>
    <row r="4" spans="2:8" ht="14.4" x14ac:dyDescent="0.3">
      <c r="B4" s="333"/>
      <c r="C4" s="421" t="s">
        <v>0</v>
      </c>
      <c r="D4" s="422" t="s">
        <v>1</v>
      </c>
      <c r="E4" s="421" t="s">
        <v>2</v>
      </c>
      <c r="F4" s="333"/>
    </row>
    <row r="5" spans="2:8" ht="14.4" x14ac:dyDescent="0.3">
      <c r="B5" s="334" t="s">
        <v>3</v>
      </c>
      <c r="C5" s="425">
        <f>'Summary -White maize'!S15</f>
        <v>398292</v>
      </c>
      <c r="D5" s="426">
        <f>'Summary -Yellow maize'!T16</f>
        <v>709366</v>
      </c>
      <c r="E5" s="425">
        <f>C5+D5</f>
        <v>1107658</v>
      </c>
      <c r="F5" s="339" t="s">
        <v>4</v>
      </c>
      <c r="G5" s="363"/>
    </row>
    <row r="6" spans="2:8" ht="13.8" x14ac:dyDescent="0.25">
      <c r="B6" s="335" t="s">
        <v>5</v>
      </c>
      <c r="C6" s="427">
        <f>'Summary -White maize'!S78</f>
        <v>5083351</v>
      </c>
      <c r="D6" s="428">
        <f>'Summary -Yellow maize'!T79</f>
        <v>5235153</v>
      </c>
      <c r="E6" s="425">
        <f>C6+D6</f>
        <v>10318504</v>
      </c>
      <c r="F6" s="340" t="s">
        <v>6</v>
      </c>
      <c r="G6" s="363"/>
    </row>
    <row r="7" spans="2:8" ht="15" thickBot="1" x14ac:dyDescent="0.35">
      <c r="B7" s="336" t="s">
        <v>7</v>
      </c>
      <c r="C7" s="429">
        <f>C5+C6</f>
        <v>5481643</v>
      </c>
      <c r="D7" s="430">
        <f>D5+D6</f>
        <v>5944519</v>
      </c>
      <c r="E7" s="429">
        <f>E5+E6</f>
        <v>11426162</v>
      </c>
      <c r="F7" s="341" t="s">
        <v>8</v>
      </c>
      <c r="H7" s="8"/>
    </row>
    <row r="8" spans="2:8" ht="15" thickTop="1" x14ac:dyDescent="0.3">
      <c r="B8" s="446" t="s">
        <v>127</v>
      </c>
      <c r="C8" s="431">
        <v>6007100</v>
      </c>
      <c r="D8" s="432">
        <v>6716950</v>
      </c>
      <c r="E8" s="431">
        <f>C8+D8</f>
        <v>12724050</v>
      </c>
      <c r="F8" s="420" t="s">
        <v>9</v>
      </c>
      <c r="G8" s="8"/>
      <c r="H8" s="8"/>
    </row>
    <row r="9" spans="2:8" ht="27.6" x14ac:dyDescent="0.25">
      <c r="B9" s="415" t="s">
        <v>126</v>
      </c>
      <c r="C9" s="433">
        <v>190000</v>
      </c>
      <c r="D9" s="434">
        <v>420000</v>
      </c>
      <c r="E9" s="433">
        <f>C9+D9</f>
        <v>610000</v>
      </c>
      <c r="F9" s="416" t="s">
        <v>125</v>
      </c>
    </row>
    <row r="10" spans="2:8" ht="28.8" x14ac:dyDescent="0.25">
      <c r="B10" s="418" t="s">
        <v>10</v>
      </c>
      <c r="C10" s="435">
        <f>C8-C9</f>
        <v>5817100</v>
      </c>
      <c r="D10" s="436">
        <f>D8-D9</f>
        <v>6296950</v>
      </c>
      <c r="E10" s="435">
        <f>E8-E9</f>
        <v>12114050</v>
      </c>
      <c r="F10" s="419" t="s">
        <v>123</v>
      </c>
      <c r="G10" s="14"/>
    </row>
    <row r="11" spans="2:8" ht="14.4" x14ac:dyDescent="0.3">
      <c r="B11" s="337" t="s">
        <v>11</v>
      </c>
      <c r="C11" s="442">
        <f>C7/C10</f>
        <v>0.94233260559385257</v>
      </c>
      <c r="D11" s="443">
        <f>D7/D10</f>
        <v>0.94403147555562616</v>
      </c>
      <c r="E11" s="442">
        <f>E7/E10</f>
        <v>0.94321568756939256</v>
      </c>
      <c r="F11" s="342" t="s">
        <v>12</v>
      </c>
    </row>
    <row r="12" spans="2:8" ht="13.8" x14ac:dyDescent="0.25">
      <c r="B12" s="338" t="s">
        <v>13</v>
      </c>
      <c r="C12" s="425">
        <f>C10-C7</f>
        <v>335457</v>
      </c>
      <c r="D12" s="426">
        <f>D10-D7</f>
        <v>352431</v>
      </c>
      <c r="E12" s="425">
        <f>E10-E7</f>
        <v>687888</v>
      </c>
      <c r="F12" s="343" t="s">
        <v>14</v>
      </c>
    </row>
    <row r="13" spans="2:8" ht="13.8" x14ac:dyDescent="0.25">
      <c r="B13" s="338" t="s">
        <v>15</v>
      </c>
      <c r="C13" s="437">
        <f>43-('Summary -White maize'!B47)</f>
        <v>13</v>
      </c>
      <c r="D13" s="437">
        <f>43-('Summary -Yellow maize'!B48)</f>
        <v>13</v>
      </c>
      <c r="E13" s="437">
        <f>43-('Summary -Total maize'!B48)</f>
        <v>13</v>
      </c>
      <c r="F13" s="343" t="s">
        <v>16</v>
      </c>
    </row>
    <row r="14" spans="2:8" ht="15" thickBot="1" x14ac:dyDescent="0.35">
      <c r="B14" s="423" t="s">
        <v>17</v>
      </c>
      <c r="C14" s="438">
        <f>C12/C13</f>
        <v>25804.384615384617</v>
      </c>
      <c r="D14" s="439">
        <f>D12/D13</f>
        <v>27110.076923076922</v>
      </c>
      <c r="E14" s="438">
        <f>E12/E13</f>
        <v>52914.461538461539</v>
      </c>
      <c r="F14" s="424" t="s">
        <v>18</v>
      </c>
    </row>
    <row r="15" spans="2:8" ht="14.4" x14ac:dyDescent="0.3">
      <c r="B15" s="450" t="s">
        <v>19</v>
      </c>
      <c r="C15" s="451"/>
      <c r="D15" s="451"/>
      <c r="E15" s="451"/>
      <c r="F15" s="452"/>
    </row>
    <row r="16" spans="2:8" ht="14.4" x14ac:dyDescent="0.3">
      <c r="B16" s="459" t="s">
        <v>124</v>
      </c>
      <c r="C16" s="460"/>
      <c r="D16" s="460"/>
      <c r="E16" s="460"/>
      <c r="F16" s="461"/>
    </row>
    <row r="17" spans="2:6" ht="14.4" x14ac:dyDescent="0.3">
      <c r="B17" s="459" t="s">
        <v>20</v>
      </c>
      <c r="C17" s="460"/>
      <c r="D17" s="460"/>
      <c r="E17" s="460"/>
      <c r="F17" s="461"/>
    </row>
    <row r="18" spans="2:6" ht="14.4" x14ac:dyDescent="0.3">
      <c r="B18" s="459" t="s">
        <v>21</v>
      </c>
      <c r="C18" s="460"/>
      <c r="D18" s="460"/>
      <c r="E18" s="460"/>
      <c r="F18" s="461"/>
    </row>
    <row r="19" spans="2:6" ht="14.4" x14ac:dyDescent="0.3">
      <c r="B19" s="462" t="s">
        <v>22</v>
      </c>
      <c r="C19" s="463"/>
      <c r="D19" s="463"/>
      <c r="E19" s="463"/>
      <c r="F19" s="464"/>
    </row>
    <row r="20" spans="2:6" ht="15" thickBot="1" x14ac:dyDescent="0.35">
      <c r="B20" s="447" t="s">
        <v>23</v>
      </c>
      <c r="C20" s="448"/>
      <c r="D20" s="448"/>
      <c r="E20" s="448"/>
      <c r="F20" s="449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32" activePane="bottomRight" state="frozen"/>
      <selection pane="topRight" activeCell="D1" sqref="D1"/>
      <selection pane="bottomLeft" activeCell="A6" sqref="A6"/>
      <selection pane="bottomRight" activeCell="O48" sqref="O4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6" t="s">
        <v>24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3" customFormat="1" ht="18.600000000000001" thickTop="1" thickBot="1" x14ac:dyDescent="0.35">
      <c r="A3" s="32"/>
      <c r="B3" s="33"/>
      <c r="C3" s="255"/>
      <c r="D3" s="465" t="s">
        <v>25</v>
      </c>
      <c r="E3" s="465"/>
      <c r="F3" s="465"/>
      <c r="G3" s="465"/>
      <c r="H3" s="465" t="s">
        <v>26</v>
      </c>
      <c r="I3" s="465"/>
      <c r="J3" s="465"/>
      <c r="K3" s="465"/>
      <c r="L3" s="465" t="s">
        <v>27</v>
      </c>
      <c r="M3" s="465"/>
      <c r="N3" s="465"/>
      <c r="O3" s="465"/>
    </row>
    <row r="4" spans="1:15" s="1" customFormat="1" ht="29.4" thickBot="1" x14ac:dyDescent="0.3">
      <c r="A4" s="32"/>
      <c r="B4" s="34" t="s">
        <v>28</v>
      </c>
      <c r="C4" s="256" t="s">
        <v>29</v>
      </c>
      <c r="D4" s="106" t="s">
        <v>30</v>
      </c>
      <c r="E4" s="34" t="s">
        <v>31</v>
      </c>
      <c r="F4" s="34" t="s">
        <v>32</v>
      </c>
      <c r="G4" s="34" t="s">
        <v>33</v>
      </c>
      <c r="H4" s="104" t="s">
        <v>30</v>
      </c>
      <c r="I4" s="106" t="s">
        <v>31</v>
      </c>
      <c r="J4" s="34" t="s">
        <v>32</v>
      </c>
      <c r="K4" s="34" t="s">
        <v>33</v>
      </c>
      <c r="L4" s="106" t="s">
        <v>30</v>
      </c>
      <c r="M4" s="106" t="s">
        <v>31</v>
      </c>
      <c r="N4" s="34" t="s">
        <v>32</v>
      </c>
      <c r="O4" s="34" t="s">
        <v>33</v>
      </c>
    </row>
    <row r="5" spans="1:15" s="1" customFormat="1" ht="29.4" thickBot="1" x14ac:dyDescent="0.3">
      <c r="A5" s="32"/>
      <c r="B5" s="34" t="s">
        <v>34</v>
      </c>
      <c r="C5" s="256" t="s">
        <v>35</v>
      </c>
      <c r="D5" s="106" t="s">
        <v>36</v>
      </c>
      <c r="E5" s="34" t="s">
        <v>37</v>
      </c>
      <c r="F5" s="34" t="s">
        <v>38</v>
      </c>
      <c r="G5" s="34" t="s">
        <v>39</v>
      </c>
      <c r="H5" s="104" t="s">
        <v>36</v>
      </c>
      <c r="I5" s="106" t="s">
        <v>37</v>
      </c>
      <c r="J5" s="34" t="s">
        <v>38</v>
      </c>
      <c r="K5" s="34" t="s">
        <v>39</v>
      </c>
      <c r="L5" s="106" t="s">
        <v>36</v>
      </c>
      <c r="M5" s="106" t="s">
        <v>37</v>
      </c>
      <c r="N5" s="34" t="s">
        <v>38</v>
      </c>
      <c r="O5" s="34" t="s">
        <v>39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6">
        <f t="shared" ref="D14:O14" si="10">SUM(D6:D13)</f>
        <v>334807</v>
      </c>
      <c r="E14" s="346">
        <f t="shared" si="10"/>
        <v>2342</v>
      </c>
      <c r="F14" s="346">
        <f t="shared" si="10"/>
        <v>337149</v>
      </c>
      <c r="G14" s="346">
        <f t="shared" si="10"/>
        <v>65903289</v>
      </c>
      <c r="H14" s="346">
        <f t="shared" si="10"/>
        <v>569998</v>
      </c>
      <c r="I14" s="346">
        <f t="shared" si="10"/>
        <v>20552</v>
      </c>
      <c r="J14" s="346">
        <f t="shared" si="10"/>
        <v>590550</v>
      </c>
      <c r="K14" s="346">
        <f t="shared" si="10"/>
        <v>58388934</v>
      </c>
      <c r="L14" s="346">
        <f t="shared" si="10"/>
        <v>904805</v>
      </c>
      <c r="M14" s="346">
        <f t="shared" si="10"/>
        <v>22894</v>
      </c>
      <c r="N14" s="346">
        <f t="shared" si="10"/>
        <v>927699</v>
      </c>
      <c r="O14" s="346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4"/>
    </row>
    <row r="16" spans="1:15" ht="14.4" x14ac:dyDescent="0.3">
      <c r="A16" s="29">
        <v>1</v>
      </c>
      <c r="B16" s="35">
        <v>1</v>
      </c>
      <c r="C16" s="352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-123853</v>
      </c>
      <c r="N16" s="36">
        <f>L16+M16</f>
        <v>313834</v>
      </c>
      <c r="O16" s="40">
        <f>L16+M16</f>
        <v>313834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15882</v>
      </c>
      <c r="N17" s="36">
        <f t="shared" ref="N17:N18" si="13">L17+M17</f>
        <v>777357</v>
      </c>
      <c r="O17" s="40">
        <f>O16+N17</f>
        <v>1091191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44" si="15">G17+F18</f>
        <v>768395</v>
      </c>
      <c r="H18" s="246">
        <v>616206</v>
      </c>
      <c r="I18" s="246">
        <v>13413</v>
      </c>
      <c r="J18" s="36">
        <f t="shared" si="12"/>
        <v>629619</v>
      </c>
      <c r="K18" s="40">
        <f t="shared" ref="K18:K19" si="16">K17+J18</f>
        <v>1318636</v>
      </c>
      <c r="L18" s="246">
        <v>976961</v>
      </c>
      <c r="M18" s="246">
        <v>19017</v>
      </c>
      <c r="N18" s="36">
        <f t="shared" si="13"/>
        <v>995978</v>
      </c>
      <c r="O18" s="40">
        <f t="shared" ref="O18:O44" si="17">O17+N18</f>
        <v>2087169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2015940</v>
      </c>
      <c r="L19" s="246">
        <v>1164821</v>
      </c>
      <c r="M19" s="246">
        <v>4135</v>
      </c>
      <c r="N19" s="36">
        <f>L19+M19</f>
        <v>1168956</v>
      </c>
      <c r="O19" s="40">
        <f t="shared" si="17"/>
        <v>3256125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32205</v>
      </c>
      <c r="F20" s="36">
        <f>D20+E20</f>
        <v>394391</v>
      </c>
      <c r="G20" s="40">
        <f t="shared" si="15"/>
        <v>1634530</v>
      </c>
      <c r="H20" s="246">
        <v>500366</v>
      </c>
      <c r="I20" s="246">
        <v>58973</v>
      </c>
      <c r="J20" s="36">
        <f t="shared" si="12"/>
        <v>559339</v>
      </c>
      <c r="K20" s="40">
        <f>K19+J20</f>
        <v>2575279</v>
      </c>
      <c r="L20" s="246">
        <v>862552</v>
      </c>
      <c r="M20" s="246">
        <v>90977</v>
      </c>
      <c r="N20" s="36">
        <f>L20+M20</f>
        <v>953529</v>
      </c>
      <c r="O20" s="40">
        <f t="shared" si="17"/>
        <v>4209654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2027361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3074798</v>
      </c>
      <c r="L21" s="246">
        <v>878511</v>
      </c>
      <c r="M21" s="246">
        <v>13538</v>
      </c>
      <c r="N21" s="36">
        <f t="shared" ref="N21:N22" si="19">L21+M21</f>
        <v>892049</v>
      </c>
      <c r="O21" s="40">
        <f t="shared" si="17"/>
        <v>5101703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2483415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3557474</v>
      </c>
      <c r="L22" s="246">
        <v>923475</v>
      </c>
      <c r="M22" s="246">
        <v>15290</v>
      </c>
      <c r="N22" s="36">
        <f t="shared" si="19"/>
        <v>938765</v>
      </c>
      <c r="O22" s="40">
        <f t="shared" si="17"/>
        <v>6040468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2883060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3885993</v>
      </c>
      <c r="L23" s="246">
        <v>721128</v>
      </c>
      <c r="M23" s="246">
        <v>5046</v>
      </c>
      <c r="N23" s="36">
        <f t="shared" ref="N23:N25" si="21">L23+M23</f>
        <v>726174</v>
      </c>
      <c r="O23" s="40">
        <f t="shared" si="17"/>
        <v>6766642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35662</v>
      </c>
      <c r="F24" s="36">
        <f t="shared" si="18"/>
        <v>476993</v>
      </c>
      <c r="G24" s="40">
        <f t="shared" si="15"/>
        <v>3360053</v>
      </c>
      <c r="H24" s="246">
        <v>277503</v>
      </c>
      <c r="I24" s="246">
        <v>70883</v>
      </c>
      <c r="J24" s="36">
        <f t="shared" si="12"/>
        <v>348386</v>
      </c>
      <c r="K24" s="40">
        <f t="shared" si="20"/>
        <v>4234379</v>
      </c>
      <c r="L24" s="246">
        <v>718834</v>
      </c>
      <c r="M24" s="246">
        <v>103488</v>
      </c>
      <c r="N24" s="36">
        <f t="shared" si="21"/>
        <v>822322</v>
      </c>
      <c r="O24" s="40">
        <f t="shared" si="17"/>
        <v>7588964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3725503</v>
      </c>
      <c r="H25" s="246">
        <v>174231</v>
      </c>
      <c r="I25" s="246">
        <v>2058</v>
      </c>
      <c r="J25" s="36">
        <f t="shared" si="12"/>
        <v>176289</v>
      </c>
      <c r="K25" s="40">
        <f t="shared" si="20"/>
        <v>4410668</v>
      </c>
      <c r="L25" s="246">
        <v>534966</v>
      </c>
      <c r="M25" s="246">
        <v>8168</v>
      </c>
      <c r="N25" s="36">
        <f t="shared" si="21"/>
        <v>543134</v>
      </c>
      <c r="O25" s="40">
        <f t="shared" si="17"/>
        <v>8132098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4058653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4550834</v>
      </c>
      <c r="L26" s="246">
        <v>460555</v>
      </c>
      <c r="M26" s="246">
        <v>13063</v>
      </c>
      <c r="N26" s="36">
        <f t="shared" ref="N26:N28" si="22">L26+M26</f>
        <v>473618</v>
      </c>
      <c r="O26" s="40">
        <f t="shared" si="17"/>
        <v>8605716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4314407</v>
      </c>
      <c r="H27" s="246">
        <v>106733</v>
      </c>
      <c r="I27" s="246">
        <v>-869</v>
      </c>
      <c r="J27" s="36">
        <f t="shared" si="12"/>
        <v>105864</v>
      </c>
      <c r="K27" s="40">
        <f t="shared" ref="K27:K44" si="23">K26+J27</f>
        <v>4656698</v>
      </c>
      <c r="L27" s="246">
        <v>356823</v>
      </c>
      <c r="M27" s="246">
        <v>3406</v>
      </c>
      <c r="N27" s="36">
        <f t="shared" si="22"/>
        <v>360229</v>
      </c>
      <c r="O27" s="40">
        <f t="shared" si="17"/>
        <v>8965945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33807</v>
      </c>
      <c r="F28" s="36">
        <f t="shared" si="18"/>
        <v>194969</v>
      </c>
      <c r="G28" s="40">
        <f t="shared" si="15"/>
        <v>4509376</v>
      </c>
      <c r="H28" s="246">
        <v>69742</v>
      </c>
      <c r="I28" s="246">
        <v>33791</v>
      </c>
      <c r="J28" s="36">
        <f t="shared" si="12"/>
        <v>103533</v>
      </c>
      <c r="K28" s="40">
        <f t="shared" si="23"/>
        <v>4760231</v>
      </c>
      <c r="L28" s="246">
        <v>230904</v>
      </c>
      <c r="M28" s="246">
        <v>40527</v>
      </c>
      <c r="N28" s="36">
        <f t="shared" si="22"/>
        <v>271431</v>
      </c>
      <c r="O28" s="40">
        <f t="shared" si="17"/>
        <v>9237376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4603694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4818285</v>
      </c>
      <c r="L29" s="246">
        <v>145544</v>
      </c>
      <c r="M29" s="246">
        <v>5138</v>
      </c>
      <c r="N29" s="36">
        <f t="shared" ref="N29:N30" si="25">L29+M29</f>
        <v>150682</v>
      </c>
      <c r="O29" s="40">
        <f t="shared" si="17"/>
        <v>9388058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4660484</v>
      </c>
      <c r="H30" s="246">
        <v>39744</v>
      </c>
      <c r="I30" s="246">
        <v>1747</v>
      </c>
      <c r="J30" s="36">
        <f t="shared" ref="J30" si="27">H30+I30</f>
        <v>41491</v>
      </c>
      <c r="K30" s="40">
        <f t="shared" si="23"/>
        <v>4859776</v>
      </c>
      <c r="L30" s="246">
        <v>96147</v>
      </c>
      <c r="M30" s="246">
        <v>2486</v>
      </c>
      <c r="N30" s="36">
        <f t="shared" si="25"/>
        <v>98633</v>
      </c>
      <c r="O30" s="40">
        <f t="shared" si="17"/>
        <v>9486691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4712592</v>
      </c>
      <c r="H31" s="246">
        <v>45205</v>
      </c>
      <c r="I31" s="246">
        <v>827</v>
      </c>
      <c r="J31" s="36">
        <f t="shared" ref="J31" si="29">H31+I31</f>
        <v>46032</v>
      </c>
      <c r="K31" s="40">
        <f t="shared" si="23"/>
        <v>4905808</v>
      </c>
      <c r="L31" s="246">
        <v>95523</v>
      </c>
      <c r="M31" s="246">
        <v>0</v>
      </c>
      <c r="N31" s="36">
        <f t="shared" ref="N31:N32" si="30">L31+M31</f>
        <v>95523</v>
      </c>
      <c r="O31" s="40">
        <f t="shared" si="17"/>
        <v>9582214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4750920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4938136</v>
      </c>
      <c r="L32" s="246">
        <f t="shared" ref="L32:L36" si="33">D32+H32</f>
        <v>72807</v>
      </c>
      <c r="M32" s="246">
        <f t="shared" ref="M32:M55" si="34">E32+I32</f>
        <v>-2151</v>
      </c>
      <c r="N32" s="36">
        <f t="shared" si="30"/>
        <v>70656</v>
      </c>
      <c r="O32" s="40">
        <f t="shared" si="17"/>
        <v>9652870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16047</v>
      </c>
      <c r="F33" s="36">
        <f t="shared" si="31"/>
        <v>45441</v>
      </c>
      <c r="G33" s="40">
        <f t="shared" si="15"/>
        <v>4796361</v>
      </c>
      <c r="H33" s="246">
        <v>34651</v>
      </c>
      <c r="I33" s="246">
        <v>11348</v>
      </c>
      <c r="J33" s="36">
        <f t="shared" ref="J33" si="35">H33+I33</f>
        <v>45999</v>
      </c>
      <c r="K33" s="40">
        <f t="shared" si="23"/>
        <v>4984135</v>
      </c>
      <c r="L33" s="246">
        <f t="shared" si="33"/>
        <v>64045</v>
      </c>
      <c r="M33" s="246">
        <f t="shared" si="34"/>
        <v>27395</v>
      </c>
      <c r="N33" s="36">
        <f t="shared" ref="N33" si="36">L33+M33</f>
        <v>91440</v>
      </c>
      <c r="O33" s="40">
        <f t="shared" si="17"/>
        <v>9744310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7">D34+E34</f>
        <v>34049</v>
      </c>
      <c r="G34" s="40">
        <f t="shared" si="15"/>
        <v>4830410</v>
      </c>
      <c r="H34" s="246">
        <v>27253</v>
      </c>
      <c r="I34" s="246">
        <v>2242</v>
      </c>
      <c r="J34" s="36">
        <f t="shared" ref="J34:J35" si="38">H34+I34</f>
        <v>29495</v>
      </c>
      <c r="K34" s="40">
        <f t="shared" si="23"/>
        <v>5013630</v>
      </c>
      <c r="L34" s="246">
        <f t="shared" si="33"/>
        <v>60710</v>
      </c>
      <c r="M34" s="246">
        <f t="shared" si="34"/>
        <v>2834</v>
      </c>
      <c r="N34" s="36">
        <f t="shared" ref="N34" si="39">L34+M34</f>
        <v>63544</v>
      </c>
      <c r="O34" s="40">
        <f t="shared" si="17"/>
        <v>9807854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7"/>
        <v>33514</v>
      </c>
      <c r="G35" s="40">
        <f t="shared" si="15"/>
        <v>4863924</v>
      </c>
      <c r="H35" s="246">
        <v>28208</v>
      </c>
      <c r="I35" s="246">
        <v>1231</v>
      </c>
      <c r="J35" s="36">
        <f t="shared" si="38"/>
        <v>29439</v>
      </c>
      <c r="K35" s="40">
        <f t="shared" si="23"/>
        <v>5043069</v>
      </c>
      <c r="L35" s="246">
        <f t="shared" si="33"/>
        <v>60140</v>
      </c>
      <c r="M35" s="246">
        <f t="shared" si="34"/>
        <v>2813</v>
      </c>
      <c r="N35" s="36">
        <f t="shared" ref="N35:N36" si="40">L35+M35</f>
        <v>62953</v>
      </c>
      <c r="O35" s="40">
        <f t="shared" si="17"/>
        <v>9870807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41">D36+E36</f>
        <v>33731</v>
      </c>
      <c r="G36" s="40">
        <f t="shared" si="15"/>
        <v>4897655</v>
      </c>
      <c r="H36" s="246">
        <v>26251</v>
      </c>
      <c r="I36" s="246">
        <v>-49</v>
      </c>
      <c r="J36" s="36">
        <f t="shared" ref="J36" si="42">H36+I36</f>
        <v>26202</v>
      </c>
      <c r="K36" s="40">
        <f t="shared" si="23"/>
        <v>5069271</v>
      </c>
      <c r="L36" s="246">
        <f t="shared" si="33"/>
        <v>56846</v>
      </c>
      <c r="M36" s="246">
        <f t="shared" si="34"/>
        <v>3087</v>
      </c>
      <c r="N36" s="36">
        <f t="shared" si="40"/>
        <v>59933</v>
      </c>
      <c r="O36" s="40">
        <f t="shared" si="17"/>
        <v>9930740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14560</v>
      </c>
      <c r="F37" s="36">
        <f t="shared" ref="F37" si="43">D37+E37</f>
        <v>38307</v>
      </c>
      <c r="G37" s="40">
        <f t="shared" si="15"/>
        <v>4935962</v>
      </c>
      <c r="H37" s="246">
        <v>20128</v>
      </c>
      <c r="I37" s="246">
        <v>17380</v>
      </c>
      <c r="J37" s="36">
        <f t="shared" ref="J37" si="44">H37+I37</f>
        <v>37508</v>
      </c>
      <c r="K37" s="40">
        <f t="shared" si="23"/>
        <v>5106779</v>
      </c>
      <c r="L37" s="246">
        <f t="shared" ref="L37:L42" si="45">D37+H37</f>
        <v>43875</v>
      </c>
      <c r="M37" s="246">
        <f t="shared" si="34"/>
        <v>31940</v>
      </c>
      <c r="N37" s="36">
        <f t="shared" ref="N37" si="46">L37+M37</f>
        <v>75815</v>
      </c>
      <c r="O37" s="40">
        <f t="shared" si="17"/>
        <v>10006555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1336</v>
      </c>
      <c r="F38" s="36">
        <f t="shared" ref="F38:F40" si="47">D38+E38</f>
        <v>31989</v>
      </c>
      <c r="G38" s="40">
        <f t="shared" si="15"/>
        <v>4967951</v>
      </c>
      <c r="H38" s="246">
        <v>23089</v>
      </c>
      <c r="I38" s="246">
        <v>2671</v>
      </c>
      <c r="J38" s="36">
        <f t="shared" ref="J38:J41" si="48">H38+I38</f>
        <v>25760</v>
      </c>
      <c r="K38" s="40">
        <f t="shared" si="23"/>
        <v>5132539</v>
      </c>
      <c r="L38" s="246">
        <f t="shared" si="45"/>
        <v>53742</v>
      </c>
      <c r="M38" s="246">
        <f t="shared" si="34"/>
        <v>4007</v>
      </c>
      <c r="N38" s="36">
        <f t="shared" ref="N38:N42" si="49">L38+M38</f>
        <v>57749</v>
      </c>
      <c r="O38" s="40">
        <f t="shared" si="17"/>
        <v>10064304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728</v>
      </c>
      <c r="F39" s="36">
        <f t="shared" si="47"/>
        <v>37430</v>
      </c>
      <c r="G39" s="40">
        <f t="shared" si="15"/>
        <v>5005381</v>
      </c>
      <c r="H39" s="246">
        <v>28083</v>
      </c>
      <c r="I39" s="246">
        <v>1279</v>
      </c>
      <c r="J39" s="36">
        <f t="shared" si="48"/>
        <v>29362</v>
      </c>
      <c r="K39" s="40">
        <f t="shared" si="23"/>
        <v>5161901</v>
      </c>
      <c r="L39" s="246">
        <f t="shared" si="45"/>
        <v>64785</v>
      </c>
      <c r="M39" s="246">
        <f t="shared" si="34"/>
        <v>2007</v>
      </c>
      <c r="N39" s="36">
        <f t="shared" si="49"/>
        <v>66792</v>
      </c>
      <c r="O39" s="40">
        <f t="shared" si="17"/>
        <v>10131096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-118</v>
      </c>
      <c r="F40" s="36">
        <f t="shared" si="47"/>
        <v>31344</v>
      </c>
      <c r="G40" s="40">
        <f t="shared" si="15"/>
        <v>5036725</v>
      </c>
      <c r="H40" s="246">
        <v>22712</v>
      </c>
      <c r="I40" s="246">
        <v>904</v>
      </c>
      <c r="J40" s="36">
        <f t="shared" si="48"/>
        <v>23616</v>
      </c>
      <c r="K40" s="40">
        <f t="shared" si="23"/>
        <v>5185517</v>
      </c>
      <c r="L40" s="246">
        <f t="shared" si="45"/>
        <v>54174</v>
      </c>
      <c r="M40" s="246">
        <f t="shared" si="34"/>
        <v>786</v>
      </c>
      <c r="N40" s="36">
        <f t="shared" si="49"/>
        <v>54960</v>
      </c>
      <c r="O40" s="40">
        <f t="shared" si="17"/>
        <v>10186056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3596</v>
      </c>
      <c r="F41" s="36">
        <f t="shared" ref="F41:F50" si="50">D41+E41</f>
        <v>23358</v>
      </c>
      <c r="G41" s="40">
        <f t="shared" si="15"/>
        <v>5060083</v>
      </c>
      <c r="H41" s="246">
        <v>16114</v>
      </c>
      <c r="I41" s="246">
        <v>10013</v>
      </c>
      <c r="J41" s="36">
        <f t="shared" si="48"/>
        <v>26127</v>
      </c>
      <c r="K41" s="40">
        <f t="shared" si="23"/>
        <v>5211644</v>
      </c>
      <c r="L41" s="246">
        <f t="shared" si="45"/>
        <v>35876</v>
      </c>
      <c r="M41" s="246">
        <f t="shared" si="34"/>
        <v>13609</v>
      </c>
      <c r="N41" s="36">
        <f t="shared" si="49"/>
        <v>49485</v>
      </c>
      <c r="O41" s="40">
        <f t="shared" si="17"/>
        <v>10235541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-92</v>
      </c>
      <c r="F42" s="36">
        <f t="shared" si="50"/>
        <v>23268</v>
      </c>
      <c r="G42" s="40">
        <f t="shared" si="15"/>
        <v>5083351</v>
      </c>
      <c r="H42" s="246">
        <v>21619</v>
      </c>
      <c r="I42" s="246">
        <v>1890</v>
      </c>
      <c r="J42" s="36">
        <f t="shared" ref="J42:J51" si="51">H42+I42</f>
        <v>23509</v>
      </c>
      <c r="K42" s="40">
        <f t="shared" si="23"/>
        <v>5235153</v>
      </c>
      <c r="L42" s="246">
        <f t="shared" si="45"/>
        <v>44979</v>
      </c>
      <c r="M42" s="246">
        <f t="shared" si="34"/>
        <v>1798</v>
      </c>
      <c r="N42" s="36">
        <f t="shared" si="49"/>
        <v>46777</v>
      </c>
      <c r="O42" s="40">
        <f t="shared" si="17"/>
        <v>10282318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1065</v>
      </c>
      <c r="F43" s="36">
        <f t="shared" si="50"/>
        <v>26276</v>
      </c>
      <c r="G43" s="40">
        <f t="shared" si="15"/>
        <v>5109627</v>
      </c>
      <c r="H43" s="246">
        <v>17583</v>
      </c>
      <c r="I43" s="246">
        <v>653</v>
      </c>
      <c r="J43" s="36">
        <f t="shared" si="51"/>
        <v>18236</v>
      </c>
      <c r="K43" s="40">
        <f t="shared" si="23"/>
        <v>5253389</v>
      </c>
      <c r="L43" s="246">
        <f t="shared" ref="L43:L67" si="52">D43+H43</f>
        <v>42794</v>
      </c>
      <c r="M43" s="246">
        <f t="shared" si="34"/>
        <v>1718</v>
      </c>
      <c r="N43" s="36">
        <f t="shared" ref="N43:N50" si="53">L43+M43</f>
        <v>44512</v>
      </c>
      <c r="O43" s="40">
        <f t="shared" si="17"/>
        <v>10326830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0</v>
      </c>
      <c r="F44" s="36">
        <f t="shared" si="50"/>
        <v>16716</v>
      </c>
      <c r="G44" s="40">
        <f t="shared" si="15"/>
        <v>5126343</v>
      </c>
      <c r="H44" s="246">
        <v>15720</v>
      </c>
      <c r="I44" s="246">
        <v>0</v>
      </c>
      <c r="J44" s="36">
        <f t="shared" si="51"/>
        <v>15720</v>
      </c>
      <c r="K44" s="40">
        <f t="shared" si="23"/>
        <v>5269109</v>
      </c>
      <c r="L44" s="246">
        <f t="shared" si="52"/>
        <v>32436</v>
      </c>
      <c r="M44" s="246">
        <f t="shared" si="34"/>
        <v>0</v>
      </c>
      <c r="N44" s="36">
        <f t="shared" si="53"/>
        <v>32436</v>
      </c>
      <c r="O44" s="40">
        <f t="shared" si="17"/>
        <v>10359266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/>
      <c r="E45" s="246"/>
      <c r="F45" s="36">
        <f t="shared" si="50"/>
        <v>0</v>
      </c>
      <c r="G45" s="40"/>
      <c r="H45" s="246"/>
      <c r="I45" s="246"/>
      <c r="J45" s="36">
        <f t="shared" si="51"/>
        <v>0</v>
      </c>
      <c r="K45" s="38"/>
      <c r="L45" s="246">
        <f t="shared" si="52"/>
        <v>0</v>
      </c>
      <c r="M45" s="246">
        <f t="shared" si="34"/>
        <v>0</v>
      </c>
      <c r="N45" s="36">
        <f t="shared" si="53"/>
        <v>0</v>
      </c>
      <c r="O45" s="40"/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/>
      <c r="E46" s="246"/>
      <c r="F46" s="36">
        <f t="shared" si="50"/>
        <v>0</v>
      </c>
      <c r="G46" s="40"/>
      <c r="H46" s="246"/>
      <c r="I46" s="246"/>
      <c r="J46" s="36">
        <f t="shared" si="51"/>
        <v>0</v>
      </c>
      <c r="K46" s="38"/>
      <c r="L46" s="246">
        <f t="shared" si="52"/>
        <v>0</v>
      </c>
      <c r="M46" s="246">
        <f t="shared" si="34"/>
        <v>0</v>
      </c>
      <c r="N46" s="36">
        <f t="shared" si="53"/>
        <v>0</v>
      </c>
      <c r="O46" s="40"/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/>
      <c r="E47" s="246"/>
      <c r="F47" s="36">
        <f t="shared" si="50"/>
        <v>0</v>
      </c>
      <c r="G47" s="40"/>
      <c r="H47" s="246"/>
      <c r="I47" s="246"/>
      <c r="J47" s="36">
        <f t="shared" si="51"/>
        <v>0</v>
      </c>
      <c r="K47" s="38"/>
      <c r="L47" s="246">
        <f t="shared" si="52"/>
        <v>0</v>
      </c>
      <c r="M47" s="246">
        <f t="shared" si="34"/>
        <v>0</v>
      </c>
      <c r="N47" s="36">
        <f t="shared" si="53"/>
        <v>0</v>
      </c>
      <c r="O47" s="40"/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/>
      <c r="E48" s="246"/>
      <c r="F48" s="36">
        <f t="shared" si="50"/>
        <v>0</v>
      </c>
      <c r="G48" s="40"/>
      <c r="H48" s="246"/>
      <c r="I48" s="246"/>
      <c r="J48" s="36">
        <f t="shared" si="51"/>
        <v>0</v>
      </c>
      <c r="K48" s="38"/>
      <c r="L48" s="246">
        <f t="shared" si="52"/>
        <v>0</v>
      </c>
      <c r="M48" s="246">
        <f t="shared" si="34"/>
        <v>0</v>
      </c>
      <c r="N48" s="36">
        <f t="shared" si="53"/>
        <v>0</v>
      </c>
      <c r="O48" s="40"/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/>
      <c r="E49" s="246"/>
      <c r="F49" s="36">
        <f t="shared" si="50"/>
        <v>0</v>
      </c>
      <c r="G49" s="40"/>
      <c r="H49" s="246"/>
      <c r="I49" s="246"/>
      <c r="J49" s="36">
        <f t="shared" si="51"/>
        <v>0</v>
      </c>
      <c r="K49" s="38"/>
      <c r="L49" s="246">
        <f t="shared" si="52"/>
        <v>0</v>
      </c>
      <c r="M49" s="246">
        <f t="shared" si="34"/>
        <v>0</v>
      </c>
      <c r="N49" s="36">
        <f t="shared" si="53"/>
        <v>0</v>
      </c>
      <c r="O49" s="40"/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/>
      <c r="E50" s="246"/>
      <c r="F50" s="36">
        <f t="shared" si="50"/>
        <v>0</v>
      </c>
      <c r="G50" s="40"/>
      <c r="H50" s="246"/>
      <c r="I50" s="246"/>
      <c r="J50" s="36">
        <f t="shared" si="51"/>
        <v>0</v>
      </c>
      <c r="K50" s="38"/>
      <c r="L50" s="246">
        <f t="shared" si="52"/>
        <v>0</v>
      </c>
      <c r="M50" s="246">
        <f t="shared" si="34"/>
        <v>0</v>
      </c>
      <c r="N50" s="36">
        <f t="shared" si="53"/>
        <v>0</v>
      </c>
      <c r="O50" s="40"/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/>
      <c r="E51" s="246"/>
      <c r="F51" s="36">
        <f t="shared" ref="F51:F53" si="54">D51+E51</f>
        <v>0</v>
      </c>
      <c r="G51" s="40"/>
      <c r="H51" s="246"/>
      <c r="I51" s="246"/>
      <c r="J51" s="36">
        <f t="shared" si="51"/>
        <v>0</v>
      </c>
      <c r="K51" s="38"/>
      <c r="L51" s="246">
        <f t="shared" si="52"/>
        <v>0</v>
      </c>
      <c r="M51" s="246">
        <f t="shared" si="34"/>
        <v>0</v>
      </c>
      <c r="N51" s="36">
        <f t="shared" ref="N51:N53" si="55">L51+M51</f>
        <v>0</v>
      </c>
      <c r="O51" s="40"/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/>
      <c r="E52" s="246"/>
      <c r="F52" s="36">
        <f t="shared" si="54"/>
        <v>0</v>
      </c>
      <c r="G52" s="40"/>
      <c r="H52" s="246"/>
      <c r="I52" s="246"/>
      <c r="J52" s="36">
        <f t="shared" ref="J52:J53" si="56">H52+I52</f>
        <v>0</v>
      </c>
      <c r="K52" s="38"/>
      <c r="L52" s="246">
        <f t="shared" si="52"/>
        <v>0</v>
      </c>
      <c r="M52" s="246">
        <f t="shared" si="34"/>
        <v>0</v>
      </c>
      <c r="N52" s="36">
        <f t="shared" si="55"/>
        <v>0</v>
      </c>
      <c r="O52" s="40"/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/>
      <c r="E53" s="246"/>
      <c r="F53" s="36">
        <f t="shared" si="54"/>
        <v>0</v>
      </c>
      <c r="G53" s="40"/>
      <c r="H53" s="246"/>
      <c r="I53" s="246"/>
      <c r="J53" s="36">
        <f t="shared" si="56"/>
        <v>0</v>
      </c>
      <c r="K53" s="38"/>
      <c r="L53" s="246">
        <f t="shared" si="52"/>
        <v>0</v>
      </c>
      <c r="M53" s="246">
        <f t="shared" si="34"/>
        <v>0</v>
      </c>
      <c r="N53" s="36">
        <f t="shared" si="55"/>
        <v>0</v>
      </c>
      <c r="O53" s="40"/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/>
      <c r="E54" s="246"/>
      <c r="F54" s="36">
        <f t="shared" ref="F54" si="57">D54+E54</f>
        <v>0</v>
      </c>
      <c r="G54" s="40"/>
      <c r="H54" s="246"/>
      <c r="I54" s="246"/>
      <c r="J54" s="36">
        <f t="shared" ref="J54:J55" si="58">H54+I54</f>
        <v>0</v>
      </c>
      <c r="K54" s="38"/>
      <c r="L54" s="246">
        <f t="shared" si="52"/>
        <v>0</v>
      </c>
      <c r="M54" s="246">
        <f t="shared" si="34"/>
        <v>0</v>
      </c>
      <c r="N54" s="36">
        <f t="shared" ref="N54" si="59">L54+M54</f>
        <v>0</v>
      </c>
      <c r="O54" s="40"/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/>
      <c r="E55" s="246"/>
      <c r="F55" s="36">
        <f t="shared" ref="F55" si="60">D55+E55</f>
        <v>0</v>
      </c>
      <c r="G55" s="40"/>
      <c r="H55" s="246"/>
      <c r="I55" s="246"/>
      <c r="J55" s="36">
        <f t="shared" si="58"/>
        <v>0</v>
      </c>
      <c r="K55" s="38"/>
      <c r="L55" s="246">
        <f t="shared" si="52"/>
        <v>0</v>
      </c>
      <c r="M55" s="246">
        <f t="shared" si="34"/>
        <v>0</v>
      </c>
      <c r="N55" s="36">
        <f t="shared" ref="N55" si="61">L55+M55</f>
        <v>0</v>
      </c>
      <c r="O55" s="40"/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/>
      <c r="E56" s="246"/>
      <c r="F56" s="36">
        <f t="shared" ref="F56:F57" si="62">D56+E56</f>
        <v>0</v>
      </c>
      <c r="G56" s="40"/>
      <c r="H56" s="246"/>
      <c r="I56" s="246"/>
      <c r="J56" s="36">
        <f t="shared" ref="J56:J58" si="63">H56+I56</f>
        <v>0</v>
      </c>
      <c r="K56" s="38"/>
      <c r="L56" s="246">
        <f t="shared" si="52"/>
        <v>0</v>
      </c>
      <c r="M56" s="246">
        <f t="shared" ref="M56" si="64">E56+I56</f>
        <v>0</v>
      </c>
      <c r="N56" s="36">
        <f t="shared" ref="N56" si="65">L56+M56</f>
        <v>0</v>
      </c>
      <c r="O56" s="40"/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/>
      <c r="E57" s="246"/>
      <c r="F57" s="36">
        <f t="shared" si="62"/>
        <v>0</v>
      </c>
      <c r="G57" s="40"/>
      <c r="H57" s="246"/>
      <c r="I57" s="246"/>
      <c r="J57" s="36">
        <f t="shared" si="63"/>
        <v>0</v>
      </c>
      <c r="K57" s="38"/>
      <c r="L57" s="246">
        <f t="shared" si="52"/>
        <v>0</v>
      </c>
      <c r="M57" s="246">
        <f t="shared" ref="M57:M61" si="66">E57+I57</f>
        <v>0</v>
      </c>
      <c r="N57" s="36">
        <f t="shared" ref="N57:N58" si="67">L57+M57</f>
        <v>0</v>
      </c>
      <c r="O57" s="40"/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/>
      <c r="E58" s="246"/>
      <c r="F58" s="36">
        <f t="shared" ref="F58" si="68">D58+E58</f>
        <v>0</v>
      </c>
      <c r="G58" s="40"/>
      <c r="H58" s="246"/>
      <c r="I58" s="246"/>
      <c r="J58" s="36">
        <f t="shared" si="63"/>
        <v>0</v>
      </c>
      <c r="K58" s="38"/>
      <c r="L58" s="246">
        <f t="shared" si="52"/>
        <v>0</v>
      </c>
      <c r="M58" s="246">
        <f t="shared" si="66"/>
        <v>0</v>
      </c>
      <c r="N58" s="36">
        <f t="shared" si="67"/>
        <v>0</v>
      </c>
      <c r="O58" s="40"/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/>
      <c r="E59" s="246"/>
      <c r="F59" s="36">
        <f t="shared" ref="F59" si="69">D59+E59</f>
        <v>0</v>
      </c>
      <c r="G59" s="40"/>
      <c r="H59" s="246"/>
      <c r="I59" s="246"/>
      <c r="J59" s="36">
        <f t="shared" ref="J59" si="70">H59+I59</f>
        <v>0</v>
      </c>
      <c r="K59" s="38"/>
      <c r="L59" s="246">
        <f t="shared" si="52"/>
        <v>0</v>
      </c>
      <c r="M59" s="246">
        <f t="shared" si="66"/>
        <v>0</v>
      </c>
      <c r="N59" s="36">
        <f t="shared" ref="N59:N61" si="71">L59+M59</f>
        <v>0</v>
      </c>
      <c r="O59" s="40"/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/>
      <c r="E60" s="246"/>
      <c r="F60" s="36">
        <f t="shared" ref="F60" si="72">D60+E60</f>
        <v>0</v>
      </c>
      <c r="G60" s="40"/>
      <c r="H60" s="246"/>
      <c r="I60" s="246"/>
      <c r="J60" s="36">
        <f t="shared" ref="J60:J61" si="73">H60+I60</f>
        <v>0</v>
      </c>
      <c r="K60" s="38"/>
      <c r="L60" s="246">
        <f t="shared" si="52"/>
        <v>0</v>
      </c>
      <c r="M60" s="246">
        <f t="shared" si="66"/>
        <v>0</v>
      </c>
      <c r="N60" s="36">
        <f t="shared" si="71"/>
        <v>0</v>
      </c>
      <c r="O60" s="40"/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/>
      <c r="E61" s="246"/>
      <c r="F61" s="36">
        <f t="shared" ref="F61" si="74">D61+E61</f>
        <v>0</v>
      </c>
      <c r="G61" s="40"/>
      <c r="H61" s="246"/>
      <c r="I61" s="246"/>
      <c r="J61" s="36">
        <f t="shared" si="73"/>
        <v>0</v>
      </c>
      <c r="K61" s="38"/>
      <c r="L61" s="246">
        <f t="shared" si="52"/>
        <v>0</v>
      </c>
      <c r="M61" s="246">
        <f t="shared" si="66"/>
        <v>0</v>
      </c>
      <c r="N61" s="36">
        <f t="shared" si="71"/>
        <v>0</v>
      </c>
      <c r="O61" s="40"/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/>
      <c r="E62" s="246"/>
      <c r="F62" s="36">
        <f t="shared" ref="F62" si="75">D62+E62</f>
        <v>0</v>
      </c>
      <c r="G62" s="40"/>
      <c r="H62" s="246"/>
      <c r="I62" s="246"/>
      <c r="J62" s="36">
        <f t="shared" ref="J62:J65" si="76">H62+I62</f>
        <v>0</v>
      </c>
      <c r="K62" s="38"/>
      <c r="L62" s="246">
        <f t="shared" si="52"/>
        <v>0</v>
      </c>
      <c r="M62" s="246">
        <f t="shared" ref="M62" si="77">E62+I62</f>
        <v>0</v>
      </c>
      <c r="N62" s="36">
        <f t="shared" ref="N62" si="78">L62+M62</f>
        <v>0</v>
      </c>
      <c r="O62" s="40"/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9">D63+E63</f>
        <v>0</v>
      </c>
      <c r="G63" s="40"/>
      <c r="H63" s="246"/>
      <c r="I63" s="246"/>
      <c r="J63" s="36">
        <f t="shared" si="76"/>
        <v>0</v>
      </c>
      <c r="K63" s="38"/>
      <c r="L63" s="246">
        <f t="shared" si="52"/>
        <v>0</v>
      </c>
      <c r="M63" s="246">
        <f t="shared" ref="M63" si="80">E63+I63</f>
        <v>0</v>
      </c>
      <c r="N63" s="36">
        <f t="shared" ref="N63" si="81">L63+M63</f>
        <v>0</v>
      </c>
      <c r="O63" s="40"/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52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52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52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52"/>
        <v>0</v>
      </c>
      <c r="M67" s="246"/>
      <c r="N67" s="36">
        <f t="shared" ref="N67" si="93">L67+M67</f>
        <v>0</v>
      </c>
      <c r="O67" s="40"/>
    </row>
    <row r="68" spans="1:15" ht="14.4" x14ac:dyDescent="0.3">
      <c r="E68" s="377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H28" activePane="bottomRight" state="frozen"/>
      <selection pane="topRight" activeCell="D1" sqref="D1"/>
      <selection pane="bottomLeft" activeCell="A4" sqref="A4"/>
      <selection pane="bottomRight" activeCell="S46" sqref="S46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7" t="s">
        <v>40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9"/>
    </row>
    <row r="3" spans="2:20" s="1" customFormat="1" ht="17.399999999999999" x14ac:dyDescent="0.35">
      <c r="B3" s="135" t="s">
        <v>28</v>
      </c>
      <c r="C3" s="136" t="s">
        <v>29</v>
      </c>
      <c r="D3" s="190" t="s">
        <v>41</v>
      </c>
      <c r="E3" s="190" t="s">
        <v>42</v>
      </c>
      <c r="F3" s="190" t="s">
        <v>43</v>
      </c>
      <c r="G3" s="201" t="s">
        <v>44</v>
      </c>
      <c r="H3" s="190" t="s">
        <v>45</v>
      </c>
      <c r="I3" s="190" t="s">
        <v>46</v>
      </c>
      <c r="J3" s="202" t="s">
        <v>47</v>
      </c>
      <c r="K3" s="202" t="s">
        <v>48</v>
      </c>
      <c r="L3" s="202" t="s">
        <v>49</v>
      </c>
      <c r="M3" s="318" t="s">
        <v>50</v>
      </c>
      <c r="N3" s="158" t="s">
        <v>51</v>
      </c>
      <c r="O3" s="295" t="s">
        <v>52</v>
      </c>
      <c r="P3" s="295" t="s">
        <v>53</v>
      </c>
      <c r="Q3" s="295" t="s">
        <v>97</v>
      </c>
      <c r="R3" s="295" t="s">
        <v>98</v>
      </c>
      <c r="S3" s="295" t="s">
        <v>116</v>
      </c>
      <c r="T3" s="219" t="s">
        <v>56</v>
      </c>
    </row>
    <row r="4" spans="2:20" ht="14.4" hidden="1" x14ac:dyDescent="0.3">
      <c r="B4" s="26">
        <v>45</v>
      </c>
      <c r="C4" s="126" t="s">
        <v>109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110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111</v>
      </c>
      <c r="D6" s="126" t="s">
        <v>60</v>
      </c>
      <c r="E6" s="126" t="s">
        <v>61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112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113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114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115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119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117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118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67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28</v>
      </c>
      <c r="C16" s="117" t="s">
        <v>29</v>
      </c>
      <c r="D16" s="119" t="s">
        <v>41</v>
      </c>
      <c r="E16" s="116" t="s">
        <v>42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46</v>
      </c>
      <c r="J16" s="147" t="s">
        <v>47</v>
      </c>
      <c r="K16" s="147" t="s">
        <v>48</v>
      </c>
      <c r="L16" s="211" t="s">
        <v>49</v>
      </c>
      <c r="M16" s="119" t="s">
        <v>50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56</v>
      </c>
    </row>
    <row r="17" spans="2:20" ht="14.4" x14ac:dyDescent="0.3">
      <c r="B17" s="75" t="s">
        <v>68</v>
      </c>
      <c r="C17" s="48" t="s">
        <v>68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3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3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3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3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3">
        <v>334868</v>
      </c>
      <c r="S22" s="298">
        <f>'Mielies-Maize'!F20</f>
        <v>394391</v>
      </c>
      <c r="T22" s="315">
        <f t="shared" si="7"/>
        <v>325480.59999999998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3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3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3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3">
        <v>932955</v>
      </c>
      <c r="S26" s="298">
        <f>'Mielies-Maize'!F24</f>
        <v>476993</v>
      </c>
      <c r="T26" s="315">
        <f t="shared" si="7"/>
        <v>550958.4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3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3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3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3">
        <v>423281</v>
      </c>
      <c r="S30" s="298">
        <f>'Mielies-Maize'!F28</f>
        <v>194969</v>
      </c>
      <c r="T30" s="315">
        <f t="shared" si="7"/>
        <v>510829.8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3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3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3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3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3">
        <v>51685</v>
      </c>
      <c r="S35" s="298">
        <f>'Mielies-Maize'!F33</f>
        <v>45441</v>
      </c>
      <c r="T35" s="315">
        <f t="shared" si="7"/>
        <v>171025.6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3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3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3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3">
        <v>31392</v>
      </c>
      <c r="S39" s="298">
        <f>'Mielies-Maize'!F37</f>
        <v>38307</v>
      </c>
      <c r="T39" s="315">
        <f t="shared" si="9"/>
        <v>65863.8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3">
        <v>29181</v>
      </c>
      <c r="S40" s="298">
        <f>'Mielies-Maize'!F38</f>
        <v>31989</v>
      </c>
      <c r="T40" s="315">
        <f t="shared" ref="T40" si="10">AVERAGE(O40:S40)</f>
        <v>22886.6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3">
        <v>32072</v>
      </c>
      <c r="S41" s="298">
        <f>'Mielies-Maize'!F39</f>
        <v>37430</v>
      </c>
      <c r="T41" s="315">
        <f t="shared" ref="T41" si="11">AVERAGE(O41:S41)</f>
        <v>28086.400000000001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3">
        <v>28965</v>
      </c>
      <c r="S42" s="298">
        <f>'Mielies-Maize'!F40</f>
        <v>31344</v>
      </c>
      <c r="T42" s="315">
        <f t="shared" ref="T42" si="12">AVERAGE(O42:S42)</f>
        <v>23325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3">
        <v>24947</v>
      </c>
      <c r="S43" s="298">
        <f>'Mielies-Maize'!F41</f>
        <v>23358</v>
      </c>
      <c r="T43" s="315">
        <f t="shared" ref="T43" si="13">AVERAGE(O43:S43)</f>
        <v>30209.200000000001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3">
        <v>15885</v>
      </c>
      <c r="S44" s="298">
        <f>'Mielies-Maize'!F42</f>
        <v>23268</v>
      </c>
      <c r="T44" s="315">
        <f>AVERAGE(O44:S44)</f>
        <v>30751.200000000001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3">
        <v>16800</v>
      </c>
      <c r="S45" s="298">
        <f>'Mielies-Maize'!F43</f>
        <v>26276</v>
      </c>
      <c r="T45" s="315">
        <f t="shared" ref="T45" si="14">AVERAGE(O45:S45)</f>
        <v>16398.8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3">
        <v>12207</v>
      </c>
      <c r="S46" s="298">
        <f>'Mielies-Maize'!F44</f>
        <v>16716</v>
      </c>
      <c r="T46" s="315">
        <f t="shared" ref="T46:T47" si="15">AVERAGE(O46:S46)</f>
        <v>13403.6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3">
        <v>32350</v>
      </c>
      <c r="S47" s="298">
        <f>'Mielies-Maize'!F45</f>
        <v>0</v>
      </c>
      <c r="T47" s="315"/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3">
        <v>15451</v>
      </c>
      <c r="S48" s="298"/>
      <c r="T48" s="315"/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3">
        <v>18470</v>
      </c>
      <c r="S49" s="298"/>
      <c r="T49" s="315"/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3">
        <v>11520</v>
      </c>
      <c r="S50" s="298"/>
      <c r="T50" s="315"/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3">
        <v>8778</v>
      </c>
      <c r="S51" s="298"/>
      <c r="T51" s="315"/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3">
        <v>11283</v>
      </c>
      <c r="S52" s="298"/>
      <c r="T52" s="315"/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3">
        <v>7088</v>
      </c>
      <c r="S53" s="298"/>
      <c r="T53" s="315"/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3">
        <v>8503</v>
      </c>
      <c r="S54" s="298"/>
      <c r="T54" s="315"/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3">
        <v>14459</v>
      </c>
      <c r="S55" s="298"/>
      <c r="T55" s="315"/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3">
        <v>24477</v>
      </c>
      <c r="S56" s="298"/>
      <c r="T56" s="315"/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3">
        <v>18483</v>
      </c>
      <c r="S57" s="298"/>
      <c r="T57" s="315"/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3">
        <v>17202</v>
      </c>
      <c r="S58" s="298"/>
      <c r="T58" s="315"/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3">
        <v>23555</v>
      </c>
      <c r="S59" s="298"/>
      <c r="T59" s="315"/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3">
        <v>29986</v>
      </c>
      <c r="S60" s="298"/>
      <c r="T60" s="315"/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3">
        <v>18024</v>
      </c>
      <c r="S61" s="298"/>
      <c r="T61" s="315"/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3">
        <v>23921</v>
      </c>
      <c r="S62" s="298"/>
      <c r="T62" s="315"/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3">
        <v>32437</v>
      </c>
      <c r="S63" s="298"/>
      <c r="T63" s="315"/>
    </row>
    <row r="64" spans="2:20" ht="14.25" customHeight="1" x14ac:dyDescent="0.3">
      <c r="B64" s="19">
        <v>47</v>
      </c>
      <c r="C64" s="285">
        <f t="shared" si="6"/>
        <v>45737</v>
      </c>
      <c r="D64" s="126" t="s">
        <v>60</v>
      </c>
      <c r="E64" s="126" t="s">
        <v>61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3">
        <v>39304</v>
      </c>
      <c r="S64" s="298"/>
      <c r="T64" s="315"/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3">
        <v>36958</v>
      </c>
      <c r="S65" s="298"/>
      <c r="T65" s="315"/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3">
        <v>36818</v>
      </c>
      <c r="S66" s="298"/>
      <c r="T66" s="315"/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3">
        <v>33811</v>
      </c>
      <c r="S67" s="298"/>
      <c r="T67" s="315"/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3">
        <v>47444</v>
      </c>
      <c r="S68" s="298"/>
      <c r="T68" s="315"/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3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4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9"/>
      <c r="T71" s="278"/>
    </row>
    <row r="72" spans="2:20" ht="14.25" customHeight="1" x14ac:dyDescent="0.3">
      <c r="B72" s="137" t="s">
        <v>69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f>'Table-SAGIS deliver vs CEC est'!C8</f>
        <v>6007100</v>
      </c>
      <c r="T72" s="309">
        <f>AVERAGE(O72:S72)</f>
        <v>7924675</v>
      </c>
    </row>
    <row r="73" spans="2:20" ht="14.25" customHeight="1" x14ac:dyDescent="0.3">
      <c r="B73" s="178" t="s">
        <v>70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190000</v>
      </c>
      <c r="T73" s="309">
        <f>AVERAGE(O73:S73)</f>
        <v>207800</v>
      </c>
    </row>
    <row r="74" spans="2:20" ht="14.25" customHeight="1" x14ac:dyDescent="0.3">
      <c r="B74" s="179" t="s">
        <v>71</v>
      </c>
      <c r="C74" s="152"/>
      <c r="D74" s="88">
        <f t="shared" ref="D74:I74" si="16">D72-D73</f>
        <v>7360107</v>
      </c>
      <c r="E74" s="88">
        <f t="shared" si="16"/>
        <v>6660110</v>
      </c>
      <c r="F74" s="88">
        <f t="shared" si="16"/>
        <v>5951688</v>
      </c>
      <c r="G74" s="88">
        <f t="shared" si="16"/>
        <v>6789559</v>
      </c>
      <c r="H74" s="88">
        <f t="shared" si="16"/>
        <v>5495858</v>
      </c>
      <c r="I74" s="88">
        <f t="shared" si="16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17">O72-O73</f>
        <v>8411310</v>
      </c>
      <c r="P74" s="242">
        <f t="shared" si="17"/>
        <v>8398000</v>
      </c>
      <c r="Q74" s="242">
        <f t="shared" si="17"/>
        <v>7673000</v>
      </c>
      <c r="R74" s="242">
        <f>R72-R73</f>
        <v>8284965</v>
      </c>
      <c r="S74" s="242">
        <f>S72-S73</f>
        <v>5817100</v>
      </c>
      <c r="T74" s="309">
        <f>AVERAGE(O74:S74)</f>
        <v>7716875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72</v>
      </c>
      <c r="C76" s="130"/>
      <c r="D76" s="131" t="s">
        <v>41</v>
      </c>
      <c r="E76" s="237" t="s">
        <v>42</v>
      </c>
      <c r="F76" s="229" t="s">
        <v>43</v>
      </c>
      <c r="G76" s="229" t="s">
        <v>44</v>
      </c>
      <c r="H76" s="229" t="s">
        <v>45</v>
      </c>
      <c r="I76" s="229" t="s">
        <v>46</v>
      </c>
      <c r="J76" s="229" t="s">
        <v>47</v>
      </c>
      <c r="K76" s="229" t="s">
        <v>48</v>
      </c>
      <c r="L76" s="230" t="s">
        <v>49</v>
      </c>
      <c r="M76" s="244" t="str">
        <f>M3</f>
        <v>2018/19</v>
      </c>
      <c r="N76" s="283" t="s">
        <v>51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56</v>
      </c>
    </row>
    <row r="77" spans="2:20" x14ac:dyDescent="0.2">
      <c r="B77" s="16" t="s">
        <v>73</v>
      </c>
      <c r="C77" s="45"/>
      <c r="D77" s="23">
        <f t="shared" ref="D77:I77" si="18">D15</f>
        <v>328341</v>
      </c>
      <c r="E77" s="238">
        <f t="shared" si="18"/>
        <v>115703</v>
      </c>
      <c r="F77" s="222">
        <f t="shared" si="18"/>
        <v>406000</v>
      </c>
      <c r="G77" s="222">
        <f t="shared" si="18"/>
        <v>510398</v>
      </c>
      <c r="H77" s="222">
        <f t="shared" si="18"/>
        <v>269777</v>
      </c>
      <c r="I77" s="222">
        <f t="shared" si="18"/>
        <v>305123</v>
      </c>
      <c r="J77" s="231">
        <f t="shared" ref="J77" si="19">J17</f>
        <v>174836</v>
      </c>
      <c r="K77" s="231">
        <f>K17</f>
        <v>288056</v>
      </c>
      <c r="L77" s="231">
        <f>L17</f>
        <v>610419</v>
      </c>
      <c r="M77" s="245">
        <f t="shared" ref="M77:O77" si="20">M17</f>
        <v>117369</v>
      </c>
      <c r="N77" s="245">
        <f>N17</f>
        <v>85898</v>
      </c>
      <c r="O77" s="304">
        <f t="shared" si="20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74</v>
      </c>
      <c r="C78" s="47"/>
      <c r="D78" s="305">
        <f t="shared" ref="D78:E78" si="21">SUM(D18:D24)</f>
        <v>1960000</v>
      </c>
      <c r="E78" s="305">
        <f t="shared" si="21"/>
        <v>1417000</v>
      </c>
      <c r="F78" s="305">
        <f t="shared" ref="F78:T78" si="22">SUM(F18:F44)</f>
        <v>9453000</v>
      </c>
      <c r="G78" s="305">
        <f t="shared" si="22"/>
        <v>10560697</v>
      </c>
      <c r="H78" s="305">
        <f t="shared" si="22"/>
        <v>10111706</v>
      </c>
      <c r="I78" s="305">
        <f t="shared" si="22"/>
        <v>12777922</v>
      </c>
      <c r="J78" s="305">
        <f t="shared" si="22"/>
        <v>8573837</v>
      </c>
      <c r="K78" s="305">
        <f t="shared" si="22"/>
        <v>6295380</v>
      </c>
      <c r="L78" s="305">
        <f t="shared" si="22"/>
        <v>14972363</v>
      </c>
      <c r="M78" s="305">
        <f t="shared" si="22"/>
        <v>6101702</v>
      </c>
      <c r="N78" s="305">
        <f t="shared" si="22"/>
        <v>5129093</v>
      </c>
      <c r="O78" s="305">
        <f t="shared" si="22"/>
        <v>7972896</v>
      </c>
      <c r="P78" s="305">
        <f t="shared" si="22"/>
        <v>7765398</v>
      </c>
      <c r="Q78" s="305">
        <f t="shared" si="22"/>
        <v>7225030</v>
      </c>
      <c r="R78" s="305">
        <f t="shared" si="22"/>
        <v>7790695</v>
      </c>
      <c r="S78" s="305">
        <f t="shared" si="22"/>
        <v>5083351</v>
      </c>
      <c r="T78" s="305">
        <f t="shared" si="22"/>
        <v>7167474</v>
      </c>
    </row>
    <row r="79" spans="2:20" ht="15" thickBot="1" x14ac:dyDescent="0.35">
      <c r="B79" s="115" t="s">
        <v>75</v>
      </c>
      <c r="C79" s="132"/>
      <c r="D79" s="168">
        <f t="shared" ref="D79:K79" si="23">SUM(D77:D78)</f>
        <v>2288341</v>
      </c>
      <c r="E79" s="239">
        <f t="shared" si="23"/>
        <v>1532703</v>
      </c>
      <c r="F79" s="223">
        <f t="shared" si="23"/>
        <v>9859000</v>
      </c>
      <c r="G79" s="223">
        <f t="shared" si="23"/>
        <v>11071095</v>
      </c>
      <c r="H79" s="223">
        <f t="shared" si="23"/>
        <v>10381483</v>
      </c>
      <c r="I79" s="223">
        <f t="shared" si="23"/>
        <v>13083045</v>
      </c>
      <c r="J79" s="223">
        <f t="shared" si="23"/>
        <v>8748673</v>
      </c>
      <c r="K79" s="223">
        <f t="shared" si="23"/>
        <v>6583436</v>
      </c>
      <c r="L79" s="223">
        <f t="shared" ref="L79:T79" si="24">SUM(L77:L78)</f>
        <v>15582782</v>
      </c>
      <c r="M79" s="196">
        <f t="shared" si="24"/>
        <v>6219071</v>
      </c>
      <c r="N79" s="196">
        <f>SUM(N77:N78)</f>
        <v>5214991</v>
      </c>
      <c r="O79" s="239">
        <f t="shared" si="24"/>
        <v>8104137</v>
      </c>
      <c r="P79" s="239">
        <f>SUM(P77:P78)</f>
        <v>8202434</v>
      </c>
      <c r="Q79" s="239">
        <f>SUM(Q77:Q78)</f>
        <v>7366218</v>
      </c>
      <c r="R79" s="239">
        <f>SUM(R77:R78)</f>
        <v>7984900</v>
      </c>
      <c r="S79" s="239">
        <f>SUM(S77:S78)</f>
        <v>5481643</v>
      </c>
      <c r="T79" s="223">
        <f t="shared" si="24"/>
        <v>7350020.4000000004</v>
      </c>
    </row>
    <row r="80" spans="2:20" ht="15" thickTop="1" x14ac:dyDescent="0.3">
      <c r="B80" s="250" t="s">
        <v>76</v>
      </c>
      <c r="C80" s="248"/>
      <c r="D80" s="249">
        <f t="shared" ref="D80:K80" si="25">SUM(D17:D61)</f>
        <v>7375341</v>
      </c>
      <c r="E80" s="249">
        <f t="shared" si="25"/>
        <v>6709703</v>
      </c>
      <c r="F80" s="249">
        <f t="shared" si="25"/>
        <v>10137000</v>
      </c>
      <c r="G80" s="249">
        <f t="shared" si="25"/>
        <v>11527005</v>
      </c>
      <c r="H80" s="249">
        <f t="shared" si="25"/>
        <v>10764932</v>
      </c>
      <c r="I80" s="249">
        <f t="shared" si="25"/>
        <v>13581109</v>
      </c>
      <c r="J80" s="249">
        <f t="shared" si="25"/>
        <v>9232766</v>
      </c>
      <c r="K80" s="249">
        <f t="shared" si="25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77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1.6565048436678804</v>
      </c>
      <c r="G81" s="274">
        <f t="shared" ref="G81:M81" si="26">G79/G74</f>
        <v>1.6306059053319959</v>
      </c>
      <c r="H81" s="274">
        <f t="shared" si="26"/>
        <v>1.8889649259496879</v>
      </c>
      <c r="I81" s="274">
        <f t="shared" si="26"/>
        <v>1.7276471317630457</v>
      </c>
      <c r="J81" s="293">
        <f>J79/J74</f>
        <v>1.891649963566701</v>
      </c>
      <c r="K81" s="293">
        <f t="shared" si="26"/>
        <v>1.9550223195725664</v>
      </c>
      <c r="L81" s="293">
        <f>L79/L74</f>
        <v>1.6086282646846288</v>
      </c>
      <c r="M81" s="293">
        <f t="shared" si="26"/>
        <v>0.94206081592835633</v>
      </c>
      <c r="N81" s="293">
        <f t="shared" ref="N81:P81" si="27">N79/N74</f>
        <v>0.96842915506035288</v>
      </c>
      <c r="O81" s="307">
        <f t="shared" si="27"/>
        <v>0.96348095599853056</v>
      </c>
      <c r="P81" s="319">
        <f t="shared" si="27"/>
        <v>0.9767127887592284</v>
      </c>
      <c r="Q81" s="319">
        <f>Q79/Q74</f>
        <v>0.9600179851427082</v>
      </c>
      <c r="R81" s="319">
        <f>R79/R74</f>
        <v>0.96378198338798049</v>
      </c>
      <c r="S81" s="319">
        <f>S79/S74</f>
        <v>0.94233260559385257</v>
      </c>
      <c r="T81" s="347">
        <f>T79/T74</f>
        <v>0.95246073054183211</v>
      </c>
    </row>
    <row r="82" spans="2:20" ht="15" customHeight="1" x14ac:dyDescent="0.3">
      <c r="B82" s="184" t="s">
        <v>78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79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80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G25" activePane="bottomRight" state="frozen"/>
      <selection pane="topRight" activeCell="D1" sqref="D1"/>
      <selection pane="bottomLeft" activeCell="A4" sqref="A4"/>
      <selection pane="bottomRight" activeCell="T46" sqref="T46:U47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6" t="s">
        <v>81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8"/>
    </row>
    <row r="3" spans="2:21" s="1" customFormat="1" ht="17.399999999999999" x14ac:dyDescent="0.35">
      <c r="B3" s="135" t="s">
        <v>28</v>
      </c>
      <c r="C3" s="136" t="s">
        <v>29</v>
      </c>
      <c r="D3" s="190" t="s">
        <v>41</v>
      </c>
      <c r="E3" s="190" t="s">
        <v>42</v>
      </c>
      <c r="F3" s="190" t="s">
        <v>82</v>
      </c>
      <c r="G3" s="190" t="s">
        <v>43</v>
      </c>
      <c r="H3" s="190" t="s">
        <v>44</v>
      </c>
      <c r="I3" s="190" t="s">
        <v>45</v>
      </c>
      <c r="J3" s="190" t="s">
        <v>46</v>
      </c>
      <c r="K3" s="190" t="s">
        <v>47</v>
      </c>
      <c r="L3" s="194" t="s">
        <v>48</v>
      </c>
      <c r="M3" s="145" t="s">
        <v>49</v>
      </c>
      <c r="N3" s="201" t="s">
        <v>50</v>
      </c>
      <c r="O3" s="284" t="s">
        <v>51</v>
      </c>
      <c r="P3" s="145" t="s">
        <v>52</v>
      </c>
      <c r="Q3" s="145" t="s">
        <v>53</v>
      </c>
      <c r="R3" s="145" t="s">
        <v>97</v>
      </c>
      <c r="S3" s="211" t="s">
        <v>98</v>
      </c>
      <c r="T3" s="211" t="s">
        <v>116</v>
      </c>
      <c r="U3" s="279" t="s">
        <v>56</v>
      </c>
    </row>
    <row r="4" spans="2:21" ht="14.4" hidden="1" x14ac:dyDescent="0.3">
      <c r="B4" s="26">
        <v>45</v>
      </c>
      <c r="C4" s="126" t="s">
        <v>57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80"/>
      <c r="T4" s="378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58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80"/>
      <c r="T5" s="378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59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80"/>
      <c r="T6" s="378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62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80"/>
      <c r="T7" s="378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63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80"/>
      <c r="T8" s="378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64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80"/>
      <c r="T9" s="378"/>
      <c r="U9" s="278">
        <f t="shared" si="0"/>
        <v>18797.2</v>
      </c>
    </row>
    <row r="10" spans="2:21" ht="14.4" hidden="1" x14ac:dyDescent="0.3">
      <c r="B10" s="26">
        <v>51</v>
      </c>
      <c r="C10" s="126" t="s">
        <v>65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80"/>
      <c r="T10" s="378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66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80"/>
      <c r="T11" s="378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1"/>
      <c r="S12" s="381"/>
      <c r="T12" s="316"/>
      <c r="U12" s="379"/>
    </row>
    <row r="13" spans="2:21" ht="13.8" hidden="1" x14ac:dyDescent="0.25">
      <c r="B13" s="176" t="s">
        <v>119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2"/>
      <c r="U13" s="280"/>
    </row>
    <row r="14" spans="2:21" ht="12" x14ac:dyDescent="0.25">
      <c r="B14" s="176" t="s">
        <v>117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118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3" customFormat="1" ht="13.8" x14ac:dyDescent="0.3">
      <c r="B16" s="395" t="s">
        <v>67</v>
      </c>
      <c r="C16" s="396"/>
      <c r="D16" s="397">
        <f>SUM(D14:D15)</f>
        <v>340692</v>
      </c>
      <c r="E16" s="397">
        <f>SUM(E14:E15)</f>
        <v>236016</v>
      </c>
      <c r="F16" s="397">
        <f>SUM(F14:F15)</f>
        <v>91500</v>
      </c>
      <c r="G16" s="397">
        <f t="shared" ref="G16:N16" si="1">SUM(G14:G15)</f>
        <v>182000</v>
      </c>
      <c r="H16" s="397">
        <f t="shared" si="1"/>
        <v>243045</v>
      </c>
      <c r="I16" s="398">
        <f t="shared" si="1"/>
        <v>156257</v>
      </c>
      <c r="J16" s="398">
        <f t="shared" si="1"/>
        <v>173661</v>
      </c>
      <c r="K16" s="398">
        <f t="shared" si="1"/>
        <v>367120</v>
      </c>
      <c r="L16" s="398">
        <f t="shared" si="1"/>
        <v>449955</v>
      </c>
      <c r="M16" s="398">
        <f t="shared" si="1"/>
        <v>300642</v>
      </c>
      <c r="N16" s="398">
        <f t="shared" si="1"/>
        <v>122548</v>
      </c>
      <c r="O16" s="397">
        <v>181045</v>
      </c>
      <c r="P16" s="397">
        <f>P13+P14+P15</f>
        <v>216491</v>
      </c>
      <c r="Q16" s="397">
        <f>Q13+Q14+Q15</f>
        <v>520271</v>
      </c>
      <c r="R16" s="399">
        <f>R13+R14+R15</f>
        <v>272860</v>
      </c>
      <c r="S16" s="399">
        <f>S13+S14+S15</f>
        <v>509294</v>
      </c>
      <c r="T16" s="399">
        <f>T13+T14+T15</f>
        <v>709366</v>
      </c>
      <c r="U16" s="400">
        <f>AVERAGE(P16:T16)</f>
        <v>445656.4</v>
      </c>
    </row>
    <row r="17" spans="2:21" ht="17.399999999999999" x14ac:dyDescent="0.35">
      <c r="B17" s="133" t="s">
        <v>28</v>
      </c>
      <c r="C17" s="117" t="s">
        <v>29</v>
      </c>
      <c r="D17" s="119" t="s">
        <v>41</v>
      </c>
      <c r="E17" s="116" t="s">
        <v>42</v>
      </c>
      <c r="F17" s="120" t="s">
        <v>82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46</v>
      </c>
      <c r="K17" s="147" t="s">
        <v>47</v>
      </c>
      <c r="L17" s="147" t="s">
        <v>48</v>
      </c>
      <c r="M17" s="147" t="s">
        <v>49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116</v>
      </c>
      <c r="U17" s="277" t="s">
        <v>56</v>
      </c>
    </row>
    <row r="18" spans="2:21" x14ac:dyDescent="0.2">
      <c r="B18" s="75" t="s">
        <v>68</v>
      </c>
      <c r="C18" s="48" t="s">
        <v>68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5">
        <v>148131</v>
      </c>
      <c r="T19" s="348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5">
        <v>139672</v>
      </c>
      <c r="T20" s="348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5">
        <v>108358</v>
      </c>
      <c r="T21" s="348">
        <f>'Mielies-Maize'!J18</f>
        <v>629619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5">
        <v>343069</v>
      </c>
      <c r="T22" s="348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5">
        <v>433857</v>
      </c>
      <c r="T23" s="348">
        <f>'Mielies-Maize'!J20</f>
        <v>559339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5">
        <v>578864</v>
      </c>
      <c r="T24" s="348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5">
        <v>646244</v>
      </c>
      <c r="T25" s="348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5">
        <v>671146</v>
      </c>
      <c r="T26" s="348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5">
        <v>735502</v>
      </c>
      <c r="T27" s="348">
        <f>'Mielies-Maize'!J24</f>
        <v>348386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5">
        <v>661817</v>
      </c>
      <c r="T28" s="348">
        <f>'Mielies-Maize'!J25</f>
        <v>176289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5">
        <v>505406</v>
      </c>
      <c r="T29" s="348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5">
        <v>424110</v>
      </c>
      <c r="T30" s="348">
        <f>'Mielies-Maize'!J27</f>
        <v>105864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5">
        <v>364948</v>
      </c>
      <c r="T31" s="348">
        <f>'Mielies-Maize'!J28</f>
        <v>103533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5">
        <v>208614</v>
      </c>
      <c r="T32" s="348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5">
        <v>150070</v>
      </c>
      <c r="T33" s="348">
        <f>'Mielies-Maize'!J30</f>
        <v>41491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5">
        <v>101002</v>
      </c>
      <c r="T34" s="348">
        <f>'Mielies-Maize'!J31</f>
        <v>46032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5">
        <v>115427</v>
      </c>
      <c r="T35" s="348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5">
        <v>38391</v>
      </c>
      <c r="T36" s="348">
        <f>'Mielies-Maize'!J33</f>
        <v>45999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5">
        <v>32471</v>
      </c>
      <c r="T37" s="348">
        <f>'Mielies-Maize'!J34</f>
        <v>29495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5">
        <v>31264</v>
      </c>
      <c r="T38" s="348">
        <f>'Mielies-Maize'!J35</f>
        <v>29439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5">
        <v>25770</v>
      </c>
      <c r="T39" s="348">
        <f>'Mielies-Maize'!J36</f>
        <v>26202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5">
        <v>60212</v>
      </c>
      <c r="T40" s="348">
        <f>'Mielies-Maize'!J37</f>
        <v>37508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5">
        <v>27372</v>
      </c>
      <c r="T41" s="348">
        <f>'Mielies-Maize'!J38</f>
        <v>25760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5">
        <v>24314</v>
      </c>
      <c r="T42" s="348">
        <f>'Mielies-Maize'!J39</f>
        <v>29362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5">
        <v>19519</v>
      </c>
      <c r="T43" s="348">
        <f>'Mielies-Maize'!J40</f>
        <v>23616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5">
        <v>49780</v>
      </c>
      <c r="T44" s="348">
        <f>'Mielies-Maize'!J41</f>
        <v>26127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5">
        <v>13420</v>
      </c>
      <c r="T45" s="348">
        <f>'Mielies-Maize'!J42</f>
        <v>23509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5">
        <v>13023</v>
      </c>
      <c r="T46" s="348">
        <f>'Mielies-Maize'!J43</f>
        <v>18236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5">
        <v>14387</v>
      </c>
      <c r="T47" s="348">
        <f>'Mielies-Maize'!J44</f>
        <v>15720</v>
      </c>
      <c r="U47" s="278">
        <f t="shared" ref="U47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5">
        <v>44364</v>
      </c>
      <c r="T48" s="348"/>
      <c r="U48" s="278"/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5">
        <v>18905</v>
      </c>
      <c r="T49" s="348"/>
      <c r="U49" s="278"/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5">
        <v>15594</v>
      </c>
      <c r="T50" s="348"/>
      <c r="U50" s="278"/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5">
        <v>19670</v>
      </c>
      <c r="T51" s="348"/>
      <c r="U51" s="278"/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5">
        <v>12340</v>
      </c>
      <c r="T52" s="348"/>
      <c r="U52" s="278"/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5">
        <v>20236</v>
      </c>
      <c r="T53" s="348"/>
      <c r="U53" s="278"/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5">
        <v>7725</v>
      </c>
      <c r="T54" s="348"/>
      <c r="U54" s="278"/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5">
        <v>13856</v>
      </c>
      <c r="T55" s="348"/>
      <c r="U55" s="278"/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5">
        <v>13437</v>
      </c>
      <c r="T56" s="348"/>
      <c r="U56" s="278"/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5">
        <v>36083</v>
      </c>
      <c r="T57" s="348"/>
      <c r="U57" s="278"/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5">
        <v>26222</v>
      </c>
      <c r="T58" s="348"/>
      <c r="U58" s="278"/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5">
        <v>28913</v>
      </c>
      <c r="T59" s="348"/>
      <c r="U59" s="278"/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5">
        <v>30649</v>
      </c>
      <c r="T60" s="348"/>
      <c r="U60" s="278"/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5">
        <v>46085</v>
      </c>
      <c r="T61" s="348"/>
      <c r="U61" s="278"/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5">
        <v>26867</v>
      </c>
      <c r="T62" s="348"/>
      <c r="U62" s="278"/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5">
        <v>28795</v>
      </c>
      <c r="T63" s="348"/>
      <c r="U63" s="278"/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5">
        <v>39164</v>
      </c>
      <c r="T64" s="348"/>
      <c r="U64" s="278"/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5">
        <v>58161</v>
      </c>
      <c r="T65" s="348"/>
      <c r="U65" s="278"/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5">
        <v>74645</v>
      </c>
      <c r="T66" s="348"/>
      <c r="U66" s="278"/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5">
        <v>59393</v>
      </c>
      <c r="T67" s="348"/>
      <c r="U67" s="278"/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5">
        <v>57683</v>
      </c>
      <c r="T68" s="348"/>
      <c r="U68" s="278"/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5">
        <v>93632</v>
      </c>
      <c r="T69" s="348"/>
      <c r="U69" s="278"/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5">
        <v>291006</v>
      </c>
      <c r="T70" s="348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5"/>
      <c r="T71" s="348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2"/>
      <c r="T72" s="349"/>
      <c r="U72" s="281"/>
    </row>
    <row r="73" spans="2:21" ht="14.4" x14ac:dyDescent="0.3">
      <c r="B73" s="137" t="s">
        <v>69</v>
      </c>
      <c r="C73" s="138"/>
      <c r="D73" s="66" t="s">
        <v>83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f>'Table-SAGIS deliver vs CEC est'!D8</f>
        <v>6716950</v>
      </c>
      <c r="U73" s="309">
        <f>AVERAGE(P73:T73)</f>
        <v>7339942</v>
      </c>
    </row>
    <row r="74" spans="2:21" ht="14.25" customHeight="1" x14ac:dyDescent="0.3">
      <c r="B74" s="178" t="s">
        <v>70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71</v>
      </c>
      <c r="C75" s="152"/>
      <c r="D75" s="88">
        <f t="shared" ref="D75:J75" si="13">D73-D74</f>
        <v>4786117</v>
      </c>
      <c r="E75" s="88">
        <f t="shared" si="13"/>
        <v>4965334</v>
      </c>
      <c r="F75" s="88">
        <f t="shared" si="13"/>
        <v>4576787</v>
      </c>
      <c r="G75" s="88">
        <f t="shared" si="13"/>
        <v>3934236</v>
      </c>
      <c r="H75" s="88">
        <f t="shared" si="13"/>
        <v>4897569</v>
      </c>
      <c r="I75" s="88">
        <f t="shared" si="13"/>
        <v>5856931</v>
      </c>
      <c r="J75" s="88">
        <f t="shared" si="13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14">Q73-Q74</f>
        <v>7293000</v>
      </c>
      <c r="R75" s="301">
        <f t="shared" si="14"/>
        <v>7230000</v>
      </c>
      <c r="S75" s="301">
        <f t="shared" si="14"/>
        <v>7465260</v>
      </c>
      <c r="T75" s="301">
        <f>T73-T74</f>
        <v>6296950</v>
      </c>
      <c r="U75" s="309">
        <f>AVERAGE(P75:T75)</f>
        <v>6927342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72</v>
      </c>
      <c r="C77" s="224"/>
      <c r="D77" s="187" t="s">
        <v>41</v>
      </c>
      <c r="E77" s="220" t="s">
        <v>42</v>
      </c>
      <c r="F77" s="220" t="s">
        <v>82</v>
      </c>
      <c r="G77" s="220" t="s">
        <v>43</v>
      </c>
      <c r="H77" s="220" t="s">
        <v>44</v>
      </c>
      <c r="I77" s="220" t="s">
        <v>45</v>
      </c>
      <c r="J77" s="220" t="s">
        <v>46</v>
      </c>
      <c r="K77" s="220" t="s">
        <v>47</v>
      </c>
      <c r="L77" s="220" t="s">
        <v>48</v>
      </c>
      <c r="M77" s="220" t="s">
        <v>49</v>
      </c>
      <c r="N77" s="187" t="s">
        <v>50</v>
      </c>
      <c r="O77" s="187" t="s">
        <v>51</v>
      </c>
      <c r="P77" s="145" t="s">
        <v>52</v>
      </c>
      <c r="Q77" s="145" t="s">
        <v>53</v>
      </c>
      <c r="R77" s="303" t="str">
        <f>R3</f>
        <v>2022/23</v>
      </c>
      <c r="S77" s="303" t="str">
        <f>S3</f>
        <v>2023/24</v>
      </c>
      <c r="T77" s="211" t="s">
        <v>116</v>
      </c>
      <c r="U77" s="277" t="s">
        <v>56</v>
      </c>
    </row>
    <row r="78" spans="2:21" x14ac:dyDescent="0.2">
      <c r="B78" s="16" t="s">
        <v>73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4">
        <v>526969</v>
      </c>
      <c r="J78" s="355">
        <f>J16</f>
        <v>173661</v>
      </c>
      <c r="K78" s="355">
        <f>K16</f>
        <v>367120</v>
      </c>
      <c r="L78" s="355">
        <f t="shared" ref="L78:P78" si="15">L18</f>
        <v>449955</v>
      </c>
      <c r="M78" s="355">
        <f t="shared" si="15"/>
        <v>300642</v>
      </c>
      <c r="N78" s="355">
        <f t="shared" si="15"/>
        <v>122548</v>
      </c>
      <c r="O78" s="355">
        <f t="shared" si="15"/>
        <v>181045</v>
      </c>
      <c r="P78" s="355">
        <f t="shared" si="15"/>
        <v>216491</v>
      </c>
      <c r="Q78" s="355">
        <f>Q18</f>
        <v>520271</v>
      </c>
      <c r="R78" s="356">
        <f>R18</f>
        <v>272860</v>
      </c>
      <c r="S78" s="356">
        <f>S16</f>
        <v>509294</v>
      </c>
      <c r="T78" s="356">
        <f>T16</f>
        <v>709366</v>
      </c>
      <c r="U78" s="183">
        <f>U18</f>
        <v>445656.4</v>
      </c>
    </row>
    <row r="79" spans="2:21" ht="12" thickBot="1" x14ac:dyDescent="0.25">
      <c r="B79" s="16" t="s">
        <v>74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7">
        <f t="shared" ref="G79:S79" si="16">SUM(G19:G45)</f>
        <v>3717943</v>
      </c>
      <c r="H79" s="357">
        <f t="shared" si="16"/>
        <v>4308197</v>
      </c>
      <c r="I79" s="357">
        <f t="shared" si="16"/>
        <v>5125332</v>
      </c>
      <c r="J79" s="357">
        <f t="shared" si="16"/>
        <v>5634517</v>
      </c>
      <c r="K79" s="357">
        <f t="shared" si="16"/>
        <v>4338643</v>
      </c>
      <c r="L79" s="357">
        <f t="shared" si="16"/>
        <v>3439111</v>
      </c>
      <c r="M79" s="357">
        <f t="shared" si="16"/>
        <v>6042189</v>
      </c>
      <c r="N79" s="357">
        <f t="shared" si="16"/>
        <v>5316218</v>
      </c>
      <c r="O79" s="357">
        <f t="shared" si="16"/>
        <v>5036648</v>
      </c>
      <c r="P79" s="357">
        <f t="shared" si="16"/>
        <v>5938304</v>
      </c>
      <c r="Q79" s="357">
        <f t="shared" si="16"/>
        <v>6528705</v>
      </c>
      <c r="R79" s="357">
        <f t="shared" si="16"/>
        <v>6691941</v>
      </c>
      <c r="S79" s="357">
        <f t="shared" si="16"/>
        <v>6658750</v>
      </c>
      <c r="T79" s="357">
        <f>SUM(T19:T45)</f>
        <v>5235153</v>
      </c>
      <c r="U79" s="357">
        <f>SUM(U19:U45)</f>
        <v>6028427.666666666</v>
      </c>
    </row>
    <row r="80" spans="2:21" ht="15" thickBot="1" x14ac:dyDescent="0.35">
      <c r="B80" s="115" t="s">
        <v>75</v>
      </c>
      <c r="C80" s="227"/>
      <c r="D80" s="196">
        <f t="shared" ref="D80:J80" si="17">SUM(D78:D79)</f>
        <v>406692</v>
      </c>
      <c r="E80" s="223">
        <f t="shared" si="17"/>
        <v>297016</v>
      </c>
      <c r="F80" s="223">
        <f t="shared" si="17"/>
        <v>114500</v>
      </c>
      <c r="G80" s="223">
        <f t="shared" si="17"/>
        <v>3899943</v>
      </c>
      <c r="H80" s="223">
        <f t="shared" si="17"/>
        <v>4551242</v>
      </c>
      <c r="I80" s="223">
        <f t="shared" si="17"/>
        <v>5652301</v>
      </c>
      <c r="J80" s="223">
        <f t="shared" si="17"/>
        <v>5808178</v>
      </c>
      <c r="K80" s="223">
        <f t="shared" ref="K80:P80" si="18">SUM(K78:K79)</f>
        <v>4705763</v>
      </c>
      <c r="L80" s="223">
        <f t="shared" si="18"/>
        <v>3889066</v>
      </c>
      <c r="M80" s="223">
        <f t="shared" si="18"/>
        <v>6342831</v>
      </c>
      <c r="N80" s="196">
        <f t="shared" si="18"/>
        <v>5438766</v>
      </c>
      <c r="O80" s="196">
        <f t="shared" si="18"/>
        <v>5217693</v>
      </c>
      <c r="P80" s="196">
        <f t="shared" si="18"/>
        <v>6154795</v>
      </c>
      <c r="Q80" s="196">
        <f>SUM(Q78:Q79)</f>
        <v>7048976</v>
      </c>
      <c r="R80" s="239">
        <f>SUM(R78:R79)</f>
        <v>6964801</v>
      </c>
      <c r="S80" s="239">
        <f>SUM(S78:S79)</f>
        <v>7168044</v>
      </c>
      <c r="T80" s="239">
        <f>SUM(T78:T79)</f>
        <v>5944519</v>
      </c>
      <c r="U80" s="196">
        <f>SUM(U78:U79)</f>
        <v>6474084.0666666664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77</v>
      </c>
      <c r="C82" s="228"/>
      <c r="D82" s="293">
        <f t="shared" ref="D82:G82" si="19">D80/D75</f>
        <v>8.4973267473402767E-2</v>
      </c>
      <c r="E82" s="293">
        <f t="shared" si="19"/>
        <v>5.981792966998796E-2</v>
      </c>
      <c r="F82" s="293">
        <f t="shared" si="19"/>
        <v>2.5017550521796186E-2</v>
      </c>
      <c r="G82" s="293">
        <f t="shared" si="19"/>
        <v>0.99128344105437494</v>
      </c>
      <c r="H82" s="293">
        <f>H80/H75</f>
        <v>0.92928593757433531</v>
      </c>
      <c r="I82" s="293">
        <f t="shared" ref="I82:M82" si="20">I80/I75</f>
        <v>0.96506190699531891</v>
      </c>
      <c r="J82" s="293">
        <f t="shared" si="20"/>
        <v>0.94325415308181959</v>
      </c>
      <c r="K82" s="293">
        <f t="shared" si="20"/>
        <v>0.96874637165008093</v>
      </c>
      <c r="L82" s="293">
        <f>L80/L75</f>
        <v>0.95242370453962155</v>
      </c>
      <c r="M82" s="293">
        <f t="shared" si="20"/>
        <v>0.96807554945054941</v>
      </c>
      <c r="N82" s="293">
        <f t="shared" ref="N82:R82" si="21">N80/N75</f>
        <v>0.96775195729537367</v>
      </c>
      <c r="O82" s="293">
        <f t="shared" si="21"/>
        <v>0.9698314126394052</v>
      </c>
      <c r="P82" s="274">
        <f t="shared" si="21"/>
        <v>0.96903015035818307</v>
      </c>
      <c r="Q82" s="293">
        <f>Q80/Q75</f>
        <v>0.96653996983408752</v>
      </c>
      <c r="R82" s="319">
        <f t="shared" si="21"/>
        <v>0.96331964038727524</v>
      </c>
      <c r="S82" s="319">
        <f>S80/S75</f>
        <v>0.96018678518899547</v>
      </c>
      <c r="T82" s="319">
        <f>T80/T75</f>
        <v>0.94403147555562616</v>
      </c>
      <c r="U82" s="293">
        <f>U80/U75</f>
        <v>0.93456971904471675</v>
      </c>
    </row>
    <row r="83" spans="2:21" ht="14.4" x14ac:dyDescent="0.3">
      <c r="B83" s="470" t="s">
        <v>78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2" t="s">
        <v>79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4" t="s">
        <v>80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J27" activePane="bottomRight" state="frozen"/>
      <selection pane="topRight" activeCell="D1" sqref="D1"/>
      <selection pane="bottomLeft" activeCell="A4" sqref="A4"/>
      <selection pane="bottomRight" activeCell="T48" sqref="T48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3.8867187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18" width="14.44140625" style="2" bestFit="1" customWidth="1"/>
    <col min="19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3" t="s">
        <v>84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350"/>
      <c r="T2" s="350"/>
    </row>
    <row r="3" spans="2:21" s="1" customFormat="1" ht="18" thickBot="1" x14ac:dyDescent="0.4">
      <c r="B3" s="160" t="s">
        <v>28</v>
      </c>
      <c r="C3" s="136" t="s">
        <v>29</v>
      </c>
      <c r="D3" s="190" t="s">
        <v>41</v>
      </c>
      <c r="E3" s="158" t="s">
        <v>42</v>
      </c>
      <c r="F3" s="190" t="s">
        <v>82</v>
      </c>
      <c r="G3" s="158" t="s">
        <v>43</v>
      </c>
      <c r="H3" s="171" t="s">
        <v>44</v>
      </c>
      <c r="I3" s="172" t="s">
        <v>45</v>
      </c>
      <c r="J3" s="171" t="s">
        <v>46</v>
      </c>
      <c r="K3" s="171" t="s">
        <v>47</v>
      </c>
      <c r="L3" s="171" t="s">
        <v>48</v>
      </c>
      <c r="M3" s="171" t="s">
        <v>49</v>
      </c>
      <c r="N3" s="264" t="s">
        <v>50</v>
      </c>
      <c r="O3" s="264" t="s">
        <v>51</v>
      </c>
      <c r="P3" s="217" t="s">
        <v>52</v>
      </c>
      <c r="Q3" s="217" t="s">
        <v>53</v>
      </c>
      <c r="R3" s="394" t="s">
        <v>97</v>
      </c>
      <c r="S3" s="324" t="s">
        <v>98</v>
      </c>
      <c r="T3" s="324" t="s">
        <v>116</v>
      </c>
      <c r="U3" s="329" t="s">
        <v>56</v>
      </c>
    </row>
    <row r="4" spans="2:21" ht="14.4" hidden="1" x14ac:dyDescent="0.3">
      <c r="B4" s="92">
        <v>44</v>
      </c>
      <c r="C4" s="126" t="s">
        <v>85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3">
        <v>38241</v>
      </c>
      <c r="S4" s="351">
        <v>44891</v>
      </c>
      <c r="T4" s="351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86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1">
        <v>52716</v>
      </c>
      <c r="T5" s="351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87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1">
        <v>71601</v>
      </c>
      <c r="T6" s="351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88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1">
        <v>97465</v>
      </c>
      <c r="T7" s="351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89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1">
        <v>111603</v>
      </c>
      <c r="T8" s="351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90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1">
        <v>96211</v>
      </c>
      <c r="T9" s="351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91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1">
        <v>91494</v>
      </c>
      <c r="T10" s="351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92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1">
        <v>141076</v>
      </c>
      <c r="T11" s="351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5">
        <v>189231</v>
      </c>
      <c r="S12" s="325">
        <v>434332</v>
      </c>
      <c r="T12" s="325">
        <v>434332</v>
      </c>
      <c r="U12" s="358"/>
    </row>
    <row r="13" spans="2:21" ht="14.4" x14ac:dyDescent="0.3">
      <c r="B13" s="176" t="s">
        <v>119</v>
      </c>
      <c r="C13" s="102"/>
      <c r="D13" s="12"/>
      <c r="E13" s="12"/>
      <c r="F13" s="12"/>
      <c r="G13" s="402"/>
      <c r="H13" s="403"/>
      <c r="I13" s="403"/>
      <c r="J13" s="403"/>
      <c r="K13" s="403"/>
      <c r="L13" s="404">
        <v>82997</v>
      </c>
      <c r="M13" s="405"/>
      <c r="N13" s="405"/>
      <c r="O13" s="405"/>
      <c r="P13" s="405"/>
      <c r="Q13" s="406"/>
      <c r="R13" s="333"/>
      <c r="S13" s="333"/>
      <c r="T13" s="333"/>
      <c r="U13" s="333"/>
    </row>
    <row r="14" spans="2:21" ht="12" x14ac:dyDescent="0.25">
      <c r="B14" s="176" t="s">
        <v>117</v>
      </c>
      <c r="C14" s="91"/>
      <c r="D14" s="76">
        <v>183432</v>
      </c>
      <c r="E14" s="76">
        <v>125545</v>
      </c>
      <c r="F14" s="76">
        <f>SUM(F4:F8)</f>
        <v>98000</v>
      </c>
      <c r="G14" s="407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1">
        <f>'Summary -White maize'!K13+'Summary -Yellow maize'!L14</f>
        <v>249761</v>
      </c>
      <c r="M14" s="332">
        <f>'Summary -White maize'!L13+'Summary -Yellow maize'!M14</f>
        <v>384702</v>
      </c>
      <c r="N14" s="332">
        <f>'Summary -White maize'!M13+'Summary -Yellow maize'!N14</f>
        <v>103393</v>
      </c>
      <c r="O14" s="332">
        <f>'Summary -White maize'!N13+'Summary -Yellow maize'!O14</f>
        <v>99506</v>
      </c>
      <c r="P14" s="332">
        <f>'Summary -White maize'!O13+'Summary -Yellow maize'!P14</f>
        <v>130740</v>
      </c>
      <c r="Q14" s="330">
        <f>'Summary -White maize'!P13+'Summary -Yellow maize'!Q14</f>
        <v>198103</v>
      </c>
      <c r="R14" s="330">
        <f>'Summary -White maize'!Q13+'Summary -Yellow maize'!R14</f>
        <v>184907</v>
      </c>
      <c r="S14" s="330">
        <f>'Summary -White maize'!R13+'Summary -Yellow maize'!S14</f>
        <v>279476</v>
      </c>
      <c r="T14" s="330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118</v>
      </c>
      <c r="C15" s="91"/>
      <c r="D15" s="76">
        <v>485601</v>
      </c>
      <c r="E15" s="76">
        <v>226174</v>
      </c>
      <c r="F15" s="76">
        <f>SUM(F9)</f>
        <v>37500</v>
      </c>
      <c r="G15" s="407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1">
        <f>'Summary -White maize'!K14+'Summary -Yellow maize'!L15</f>
        <v>488250</v>
      </c>
      <c r="M15" s="332">
        <f>'Summary -White maize'!L14+'Summary -Yellow maize'!M15</f>
        <v>419491</v>
      </c>
      <c r="N15" s="332">
        <f>'Summary -White maize'!M14+'Summary -Yellow maize'!N15</f>
        <v>136524</v>
      </c>
      <c r="O15" s="332">
        <f>'Summary -White maize'!N14+'Summary -Yellow maize'!O15</f>
        <v>167437</v>
      </c>
      <c r="P15" s="332">
        <f>'Summary -White maize'!O14+'Summary -Yellow maize'!P15</f>
        <v>216992</v>
      </c>
      <c r="Q15" s="330">
        <f>'Summary -White maize'!P14+'Summary -Yellow maize'!Q15</f>
        <v>759204</v>
      </c>
      <c r="R15" s="330">
        <f>'Summary -White maize'!Q14+'Summary -Yellow maize'!R15</f>
        <v>229141</v>
      </c>
      <c r="S15" s="330">
        <f>'Summary -White maize'!R14+'Summary -Yellow maize'!S15</f>
        <v>424023</v>
      </c>
      <c r="T15" s="330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67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8">
        <f t="shared" si="2"/>
        <v>182240</v>
      </c>
      <c r="H16" s="409">
        <f t="shared" si="2"/>
        <v>753443</v>
      </c>
      <c r="I16" s="409">
        <f t="shared" si="2"/>
        <v>426034</v>
      </c>
      <c r="J16" s="409">
        <f t="shared" si="2"/>
        <v>478784</v>
      </c>
      <c r="K16" s="409">
        <v>541956</v>
      </c>
      <c r="L16" s="410">
        <f t="shared" ref="L16:T16" si="3">L13+L14+L15</f>
        <v>821008</v>
      </c>
      <c r="M16" s="411">
        <f t="shared" si="3"/>
        <v>804193</v>
      </c>
      <c r="N16" s="411">
        <f t="shared" si="3"/>
        <v>239917</v>
      </c>
      <c r="O16" s="412">
        <f t="shared" si="3"/>
        <v>266943</v>
      </c>
      <c r="P16" s="412">
        <f t="shared" si="3"/>
        <v>347732</v>
      </c>
      <c r="Q16" s="413">
        <f t="shared" si="3"/>
        <v>957307</v>
      </c>
      <c r="R16" s="413">
        <f t="shared" si="3"/>
        <v>414048</v>
      </c>
      <c r="S16" s="413">
        <f t="shared" si="3"/>
        <v>703499</v>
      </c>
      <c r="T16" s="413">
        <f t="shared" si="3"/>
        <v>1107658</v>
      </c>
      <c r="U16" s="414">
        <f t="shared" si="1"/>
        <v>488241</v>
      </c>
    </row>
    <row r="17" spans="2:21" ht="18" thickBot="1" x14ac:dyDescent="0.4">
      <c r="B17" s="133" t="s">
        <v>28</v>
      </c>
      <c r="C17" s="117" t="s">
        <v>29</v>
      </c>
      <c r="D17" s="119" t="s">
        <v>41</v>
      </c>
      <c r="E17" s="116" t="s">
        <v>42</v>
      </c>
      <c r="F17" s="120" t="s">
        <v>82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1" t="s">
        <v>46</v>
      </c>
      <c r="K17" s="401" t="s">
        <v>47</v>
      </c>
      <c r="L17" s="401" t="s">
        <v>48</v>
      </c>
      <c r="M17" s="401" t="s">
        <v>49</v>
      </c>
      <c r="N17" s="201" t="s">
        <v>50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9" t="s">
        <v>55</v>
      </c>
      <c r="T17" s="359" t="s">
        <v>116</v>
      </c>
      <c r="U17" s="360" t="s">
        <v>56</v>
      </c>
    </row>
    <row r="18" spans="2:21" ht="14.4" x14ac:dyDescent="0.3">
      <c r="B18" s="75" t="s">
        <v>68</v>
      </c>
      <c r="C18" s="48" t="s">
        <v>93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7">
        <f>'Summary -White maize'!R18+'Summary -Yellow maize'!S19</f>
        <v>219784</v>
      </c>
      <c r="T19" s="351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7">
        <f>'Summary -White maize'!R19+'Summary -Yellow maize'!S20</f>
        <v>225757</v>
      </c>
      <c r="T20" s="351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7">
        <f>'Summary -White maize'!R20+'Summary -Yellow maize'!S21</f>
        <v>240902</v>
      </c>
      <c r="T21" s="351">
        <f>'Summary -White maize'!S20+'Summary -Yellow maize'!T21</f>
        <v>995941</v>
      </c>
      <c r="U21" s="278">
        <f t="shared" si="7"/>
        <v>442318.71428571426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7">
        <f>'Summary -White maize'!R21+'Summary -Yellow maize'!S22</f>
        <v>684568</v>
      </c>
      <c r="T22" s="351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7">
        <f>'Summary -White maize'!R22+'Summary -Yellow maize'!S23</f>
        <v>768725</v>
      </c>
      <c r="T23" s="351">
        <f>'Summary -White maize'!S22+'Summary -Yellow maize'!T23</f>
        <v>953730</v>
      </c>
      <c r="U23" s="278">
        <f t="shared" si="7"/>
        <v>621399.28571428568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7">
        <f>'Summary -White maize'!R23+'Summary -Yellow maize'!S24</f>
        <v>1221560</v>
      </c>
      <c r="T24" s="351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7">
        <f>'Summary -White maize'!R24+'Summary -Yellow maize'!S25</f>
        <v>1425674</v>
      </c>
      <c r="T25" s="351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7">
        <f>'Summary -White maize'!R25+'Summary -Yellow maize'!S26</f>
        <v>1575610</v>
      </c>
      <c r="T26" s="351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7">
        <f>'Summary -White maize'!R26+'Summary -Yellow maize'!S27</f>
        <v>1668457</v>
      </c>
      <c r="T27" s="351">
        <f>'Summary -White maize'!S26+'Summary -Yellow maize'!T27</f>
        <v>825379</v>
      </c>
      <c r="U27" s="278">
        <f t="shared" si="7"/>
        <v>1051628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7">
        <f>'Summary -White maize'!R27+'Summary -Yellow maize'!S28</f>
        <v>1457721</v>
      </c>
      <c r="T28" s="351">
        <f>'Summary -White maize'!S27+'Summary -Yellow maize'!T28</f>
        <v>541739</v>
      </c>
      <c r="U28" s="278">
        <f t="shared" si="7"/>
        <v>835414.71428571432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7">
        <f>'Summary -White maize'!R28+'Summary -Yellow maize'!S29</f>
        <v>1196400</v>
      </c>
      <c r="T29" s="351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7">
        <f>'Summary -White maize'!R29+'Summary -Yellow maize'!S30</f>
        <v>996812</v>
      </c>
      <c r="T30" s="351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7">
        <f>'Summary -White maize'!R30+'Summary -Yellow maize'!S31</f>
        <v>788229</v>
      </c>
      <c r="T31" s="351">
        <f>'Summary -White maize'!S30+'Summary -Yellow maize'!T31</f>
        <v>298502</v>
      </c>
      <c r="U31" s="278">
        <f t="shared" si="8"/>
        <v>997321.85714285716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7">
        <f>'Summary -White maize'!R31+'Summary -Yellow maize'!S32</f>
        <v>477309</v>
      </c>
      <c r="T32" s="351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7">
        <f>'Summary -White maize'!R32+'Summary -Yellow maize'!S33</f>
        <v>365441</v>
      </c>
      <c r="T33" s="351">
        <f>'Summary -White maize'!S32+'Summary -Yellow maize'!T33</f>
        <v>98281</v>
      </c>
      <c r="U33" s="278">
        <f t="shared" si="8"/>
        <v>485659.14285714284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7">
        <f>'Summary -White maize'!R33+'Summary -Yellow maize'!S34</f>
        <v>252444</v>
      </c>
      <c r="T34" s="351">
        <f>'Summary -White maize'!S33+'Summary -Yellow maize'!T34</f>
        <v>98140</v>
      </c>
      <c r="U34" s="278">
        <f t="shared" si="8"/>
        <v>400009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7">
        <f>'Summary -White maize'!R34+'Summary -Yellow maize'!S35</f>
        <v>239966</v>
      </c>
      <c r="T35" s="351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7">
        <f>'Summary -White maize'!R35+'Summary -Yellow maize'!S36</f>
        <v>90076</v>
      </c>
      <c r="T36" s="351">
        <f>'Summary -White maize'!S35+'Summary -Yellow maize'!T36</f>
        <v>91440</v>
      </c>
      <c r="U36" s="278">
        <f t="shared" si="8"/>
        <v>332622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7">
        <f>'Summary -White maize'!R36+'Summary -Yellow maize'!S37</f>
        <v>70031</v>
      </c>
      <c r="T37" s="351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7">
        <f>'Summary -White maize'!R37+'Summary -Yellow maize'!S38</f>
        <v>63727</v>
      </c>
      <c r="T38" s="351">
        <f>'Summary -White maize'!S37+'Summary -Yellow maize'!T38</f>
        <v>62953</v>
      </c>
      <c r="U38" s="278">
        <f t="shared" ref="U38" si="9">AVERAGE(N38:T38)</f>
        <v>82928.428571428565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7">
        <f>'Summary -White maize'!R38+'Summary -Yellow maize'!S39</f>
        <v>63193</v>
      </c>
      <c r="T39" s="351">
        <f>'Summary -White maize'!S38+'Summary -Yellow maize'!T39</f>
        <v>59933</v>
      </c>
      <c r="U39" s="278">
        <f t="shared" ref="U39:U40" si="10">AVERAGE(N39:T39)</f>
        <v>79632.142857142855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7">
        <f>'Summary -White maize'!R39+'Summary -Yellow maize'!S40</f>
        <v>91604</v>
      </c>
      <c r="T40" s="351">
        <f>'Summary -White maize'!S39+'Summary -Yellow maize'!T40</f>
        <v>75815</v>
      </c>
      <c r="U40" s="278">
        <f t="shared" si="10"/>
        <v>128663.14285714286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7">
        <f>'Summary -White maize'!R40+'Summary -Yellow maize'!S41</f>
        <v>56553</v>
      </c>
      <c r="T41" s="351">
        <f>'Summary -White maize'!S40+'Summary -Yellow maize'!T41</f>
        <v>57749</v>
      </c>
      <c r="U41" s="278">
        <f t="shared" ref="U41:U43" si="11">AVERAGE(N41:T41)</f>
        <v>37860.714285714283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7">
        <f>'Summary -White maize'!R41+'Summary -Yellow maize'!S42</f>
        <v>56386</v>
      </c>
      <c r="T42" s="351">
        <f>'Summary -White maize'!S41+'Summary -Yellow maize'!T42</f>
        <v>66792</v>
      </c>
      <c r="U42" s="278">
        <f t="shared" si="11"/>
        <v>42955.714285714283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7">
        <f>'Summary -White maize'!R42+'Summary -Yellow maize'!S43</f>
        <v>48484</v>
      </c>
      <c r="T43" s="351">
        <f>'Summary -White maize'!S42+'Summary -Yellow maize'!T43</f>
        <v>54960</v>
      </c>
      <c r="U43" s="278">
        <f t="shared" si="11"/>
        <v>36873.714285714283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7">
        <f>'Summary -White maize'!R43+'Summary -Yellow maize'!S44</f>
        <v>74727</v>
      </c>
      <c r="T44" s="351">
        <f>'Summary -White maize'!S43+'Summary -Yellow maize'!T44</f>
        <v>49485</v>
      </c>
      <c r="U44" s="278">
        <f t="shared" ref="U44:U45" si="12">AVERAGE(N44:T44)</f>
        <v>80622.571428571435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7">
        <f>'Summary -White maize'!R44+'Summary -Yellow maize'!S45</f>
        <v>29305</v>
      </c>
      <c r="T45" s="351">
        <f>'Summary -White maize'!S44+'Summary -Yellow maize'!T45</f>
        <v>46777</v>
      </c>
      <c r="U45" s="278">
        <f t="shared" si="12"/>
        <v>40209.428571428572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7">
        <f>'Summary -White maize'!R45+'Summary -Yellow maize'!S46</f>
        <v>29823</v>
      </c>
      <c r="T46" s="351">
        <f>'Summary -White maize'!S45+'Summary -Yellow maize'!T46</f>
        <v>44512</v>
      </c>
      <c r="U46" s="278">
        <f t="shared" ref="U46" si="13">AVERAGE(N46:T46)</f>
        <v>24931.428571428572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7">
        <f>'Summary -White maize'!R46+'Summary -Yellow maize'!S47</f>
        <v>26594</v>
      </c>
      <c r="T47" s="351">
        <f>'Summary -White maize'!S46+'Summary -Yellow maize'!T47</f>
        <v>32436</v>
      </c>
      <c r="U47" s="278">
        <f t="shared" ref="U47" si="14">AVERAGE(N47:T47)</f>
        <v>21643.285714285714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7">
        <f>'Summary -White maize'!R47+'Summary -Yellow maize'!S48</f>
        <v>76714</v>
      </c>
      <c r="T48" s="351"/>
      <c r="U48" s="278"/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7">
        <f>'Summary -White maize'!R48+'Summary -Yellow maize'!S49</f>
        <v>34356</v>
      </c>
      <c r="T49" s="351"/>
      <c r="U49" s="278"/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7">
        <f>'Summary -White maize'!R49+'Summary -Yellow maize'!S50</f>
        <v>34064</v>
      </c>
      <c r="T50" s="351"/>
      <c r="U50" s="278"/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7">
        <f>'Summary -White maize'!R50+'Summary -Yellow maize'!S51</f>
        <v>31190</v>
      </c>
      <c r="T51" s="351"/>
      <c r="U51" s="278"/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7">
        <f>'Summary -White maize'!R51+'Summary -Yellow maize'!S52</f>
        <v>21118</v>
      </c>
      <c r="T52" s="351"/>
      <c r="U52" s="278"/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7">
        <f>'Summary -White maize'!R52+'Summary -Yellow maize'!S53</f>
        <v>31519</v>
      </c>
      <c r="T53" s="351"/>
      <c r="U53" s="278"/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7">
        <f>'Summary -White maize'!R53+'Summary -Yellow maize'!S54</f>
        <v>14813</v>
      </c>
      <c r="T54" s="351"/>
      <c r="U54" s="278"/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7">
        <f>'Summary -White maize'!R54+'Summary -Yellow maize'!S55</f>
        <v>22359</v>
      </c>
      <c r="T55" s="351"/>
      <c r="U55" s="278"/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7">
        <f>'Summary -White maize'!R55+'Summary -Yellow maize'!S56</f>
        <v>27896</v>
      </c>
      <c r="T56" s="351"/>
      <c r="U56" s="278"/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7">
        <f>'Summary -White maize'!R56+'Summary -Yellow maize'!S57</f>
        <v>60560</v>
      </c>
      <c r="T57" s="351"/>
      <c r="U57" s="278"/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7">
        <f>'Summary -White maize'!R57+'Summary -Yellow maize'!S58</f>
        <v>44705</v>
      </c>
      <c r="T58" s="351"/>
      <c r="U58" s="278"/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7">
        <f>'Summary -White maize'!R58+'Summary -Yellow maize'!S59</f>
        <v>46115</v>
      </c>
      <c r="T59" s="351"/>
      <c r="U59" s="278"/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7">
        <f>'Summary -White maize'!R59+'Summary -Yellow maize'!S60</f>
        <v>54204</v>
      </c>
      <c r="T60" s="351"/>
      <c r="U60" s="278"/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7">
        <f>'Summary -White maize'!R60+'Summary -Yellow maize'!S61</f>
        <v>76071</v>
      </c>
      <c r="T61" s="351"/>
      <c r="U61" s="278"/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7">
        <f>'Summary -White maize'!R61+'Summary -Yellow maize'!S62</f>
        <v>44891</v>
      </c>
      <c r="T62" s="351"/>
      <c r="U62" s="278"/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7">
        <f>'Summary -White maize'!R62+'Summary -Yellow maize'!S63</f>
        <v>52716</v>
      </c>
      <c r="T63" s="351"/>
      <c r="U63" s="278"/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7">
        <f>'Summary -White maize'!R63+'Summary -Yellow maize'!S64</f>
        <v>71601</v>
      </c>
      <c r="T64" s="351"/>
      <c r="U64" s="278"/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7">
        <f>'Summary -White maize'!R64+'Summary -Yellow maize'!S65</f>
        <v>97465</v>
      </c>
      <c r="T65" s="351"/>
      <c r="U65" s="278"/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7">
        <f>'Summary -White maize'!R65+'Summary -Yellow maize'!S66</f>
        <v>111603</v>
      </c>
      <c r="T66" s="351"/>
      <c r="U66" s="278"/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7">
        <f>'Summary -White maize'!R66+'Summary -Yellow maize'!S67</f>
        <v>96211</v>
      </c>
      <c r="T67" s="351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7">
        <f>'Summary -White maize'!R67+'Summary -Yellow maize'!S68</f>
        <v>91494</v>
      </c>
      <c r="T68" s="351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7">
        <f>'Summary -White maize'!R68+'Summary -Yellow maize'!S69</f>
        <v>141076</v>
      </c>
      <c r="T69" s="351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7">
        <f>'Summary -White maize'!R69+'Summary -Yellow maize'!S70</f>
        <v>434332</v>
      </c>
      <c r="T70" s="351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7">
        <f>'Summary -White maize'!R70+'Summary -Yellow maize'!S71</f>
        <v>0</v>
      </c>
      <c r="T71" s="351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6">
        <f>'Summary -White maize'!R71+'Summary -Yellow maize'!S72</f>
        <v>0</v>
      </c>
      <c r="T72" s="351"/>
      <c r="U72" s="281"/>
    </row>
    <row r="73" spans="2:21" ht="14.4" x14ac:dyDescent="0.3">
      <c r="B73" s="137" t="s">
        <v>69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12724050</v>
      </c>
      <c r="U73" s="309">
        <f>AVERAGE(O73:S73)</f>
        <v>14974807</v>
      </c>
    </row>
    <row r="74" spans="2:21" ht="14.25" customHeight="1" x14ac:dyDescent="0.3">
      <c r="B74" s="178" t="s">
        <v>70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610000</v>
      </c>
      <c r="T74" s="321">
        <f>'Table-SAGIS deliver vs CEC est'!D9</f>
        <v>420000</v>
      </c>
      <c r="U74" s="309">
        <f>AVERAGE(O74:S74)</f>
        <v>593400</v>
      </c>
    </row>
    <row r="75" spans="2:21" ht="14.25" customHeight="1" x14ac:dyDescent="0.3">
      <c r="B75" s="179" t="s">
        <v>71</v>
      </c>
      <c r="C75" s="152"/>
      <c r="D75" s="88">
        <f t="shared" ref="D75:I75" si="15">D73-D74</f>
        <v>12146224</v>
      </c>
      <c r="E75" s="88">
        <f t="shared" si="15"/>
        <v>11625444</v>
      </c>
      <c r="F75" s="88">
        <f t="shared" si="15"/>
        <v>11541475</v>
      </c>
      <c r="G75" s="88">
        <f t="shared" si="15"/>
        <v>9885924</v>
      </c>
      <c r="H75" s="88">
        <f>H73-H74</f>
        <v>11687128</v>
      </c>
      <c r="I75" s="88">
        <f t="shared" si="15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6">P73-P74</f>
        <v>14762810</v>
      </c>
      <c r="Q75" s="269">
        <f t="shared" si="16"/>
        <v>15691000</v>
      </c>
      <c r="R75" s="310">
        <f t="shared" si="16"/>
        <v>14903000</v>
      </c>
      <c r="S75" s="310">
        <f>S73-S74</f>
        <v>15785225</v>
      </c>
      <c r="T75" s="310">
        <f t="shared" si="16"/>
        <v>12304050</v>
      </c>
      <c r="U75" s="310">
        <f>U73-U74</f>
        <v>14381407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72</v>
      </c>
      <c r="C77" s="234"/>
      <c r="D77" s="233" t="s">
        <v>41</v>
      </c>
      <c r="E77" s="219" t="s">
        <v>42</v>
      </c>
      <c r="F77" s="219" t="s">
        <v>82</v>
      </c>
      <c r="G77" s="219" t="s">
        <v>43</v>
      </c>
      <c r="H77" s="219" t="s">
        <v>44</v>
      </c>
      <c r="I77" s="219" t="s">
        <v>45</v>
      </c>
      <c r="J77" s="219" t="s">
        <v>46</v>
      </c>
      <c r="K77" s="220" t="s">
        <v>47</v>
      </c>
      <c r="L77" s="220" t="s">
        <v>48</v>
      </c>
      <c r="M77" s="220" t="s">
        <v>49</v>
      </c>
      <c r="N77" s="220" t="s">
        <v>50</v>
      </c>
      <c r="O77" s="220" t="s">
        <v>51</v>
      </c>
      <c r="P77" s="220" t="s">
        <v>52</v>
      </c>
      <c r="Q77" s="220" t="s">
        <v>53</v>
      </c>
      <c r="R77" s="220" t="str">
        <f>R3</f>
        <v>2022/23</v>
      </c>
      <c r="S77" s="220" t="str">
        <f>S3</f>
        <v>2023/24</v>
      </c>
      <c r="T77" s="359" t="s">
        <v>116</v>
      </c>
      <c r="U77" s="329" t="s">
        <v>56</v>
      </c>
    </row>
    <row r="78" spans="2:21" ht="14.4" x14ac:dyDescent="0.3">
      <c r="B78" s="16" t="s">
        <v>73</v>
      </c>
      <c r="C78" s="235"/>
      <c r="D78" s="218">
        <f t="shared" ref="D78:K78" si="17">D16</f>
        <v>669033</v>
      </c>
      <c r="E78" s="221">
        <f t="shared" si="17"/>
        <v>351719</v>
      </c>
      <c r="F78" s="221">
        <f t="shared" si="17"/>
        <v>135500</v>
      </c>
      <c r="G78" s="364">
        <f t="shared" si="17"/>
        <v>182240</v>
      </c>
      <c r="H78" s="364">
        <f t="shared" si="17"/>
        <v>753443</v>
      </c>
      <c r="I78" s="365">
        <f t="shared" si="17"/>
        <v>426034</v>
      </c>
      <c r="J78" s="364">
        <f t="shared" si="17"/>
        <v>478784</v>
      </c>
      <c r="K78" s="364">
        <f t="shared" si="17"/>
        <v>541956</v>
      </c>
      <c r="L78" s="364">
        <f t="shared" ref="L78:Q78" si="18">L18</f>
        <v>821008</v>
      </c>
      <c r="M78" s="364">
        <f t="shared" si="18"/>
        <v>804193</v>
      </c>
      <c r="N78" s="364">
        <f t="shared" si="18"/>
        <v>239917</v>
      </c>
      <c r="O78" s="364">
        <f t="shared" si="18"/>
        <v>266943</v>
      </c>
      <c r="P78" s="364">
        <f t="shared" si="18"/>
        <v>347732</v>
      </c>
      <c r="Q78" s="364">
        <f t="shared" si="18"/>
        <v>957307</v>
      </c>
      <c r="R78" s="353">
        <f>R18</f>
        <v>414048</v>
      </c>
      <c r="S78" s="353">
        <f>S18</f>
        <v>703499</v>
      </c>
      <c r="T78" s="353">
        <f>T18</f>
        <v>1107658</v>
      </c>
      <c r="U78" s="366">
        <f>U18</f>
        <v>488241</v>
      </c>
    </row>
    <row r="79" spans="2:21" ht="15" thickBot="1" x14ac:dyDescent="0.35">
      <c r="B79" s="16" t="s">
        <v>74</v>
      </c>
      <c r="C79" s="235"/>
      <c r="D79" s="322">
        <f>SUM(D19:D25)</f>
        <v>3610000</v>
      </c>
      <c r="E79" s="367">
        <f t="shared" ref="E79:F79" si="19">SUM(E19:E35)</f>
        <v>10414000</v>
      </c>
      <c r="F79" s="367">
        <f t="shared" si="19"/>
        <v>10785000</v>
      </c>
      <c r="G79" s="367">
        <f t="shared" ref="G79:S79" si="20">SUM(G19:G45)</f>
        <v>9453000</v>
      </c>
      <c r="H79" s="367">
        <f t="shared" si="20"/>
        <v>10560697</v>
      </c>
      <c r="I79" s="367">
        <f t="shared" si="20"/>
        <v>10111706</v>
      </c>
      <c r="J79" s="367">
        <f t="shared" si="20"/>
        <v>12777922</v>
      </c>
      <c r="K79" s="367">
        <f t="shared" si="20"/>
        <v>8573837</v>
      </c>
      <c r="L79" s="367">
        <f t="shared" si="20"/>
        <v>6295380</v>
      </c>
      <c r="M79" s="367">
        <f t="shared" si="20"/>
        <v>14972363</v>
      </c>
      <c r="N79" s="367">
        <f t="shared" si="20"/>
        <v>11417329</v>
      </c>
      <c r="O79" s="367">
        <f t="shared" si="20"/>
        <v>10165134</v>
      </c>
      <c r="P79" s="367">
        <f t="shared" si="20"/>
        <v>13908696</v>
      </c>
      <c r="Q79" s="367">
        <f t="shared" si="20"/>
        <v>14292567</v>
      </c>
      <c r="R79" s="367">
        <f t="shared" si="20"/>
        <v>13916971</v>
      </c>
      <c r="S79" s="367">
        <f t="shared" si="20"/>
        <v>14449445</v>
      </c>
      <c r="T79" s="367">
        <f>SUM(T19:T45)</f>
        <v>10318504</v>
      </c>
      <c r="U79" s="367">
        <f>SUM(U19:U45)</f>
        <v>12638378.000000004</v>
      </c>
    </row>
    <row r="80" spans="2:21" ht="15" thickBot="1" x14ac:dyDescent="0.35">
      <c r="B80" s="115" t="s">
        <v>75</v>
      </c>
      <c r="C80" s="236"/>
      <c r="D80" s="164">
        <f t="shared" ref="D80:K80" si="21">D78+D79</f>
        <v>4279033</v>
      </c>
      <c r="E80" s="164">
        <f t="shared" si="21"/>
        <v>10765719</v>
      </c>
      <c r="F80" s="164">
        <f t="shared" si="21"/>
        <v>10920500</v>
      </c>
      <c r="G80" s="164">
        <f t="shared" si="21"/>
        <v>9635240</v>
      </c>
      <c r="H80" s="164">
        <f t="shared" si="21"/>
        <v>11314140</v>
      </c>
      <c r="I80" s="164">
        <f t="shared" si="21"/>
        <v>10537740</v>
      </c>
      <c r="J80" s="164">
        <f t="shared" si="21"/>
        <v>13256706</v>
      </c>
      <c r="K80" s="164">
        <f t="shared" si="21"/>
        <v>9115793</v>
      </c>
      <c r="L80" s="164">
        <f t="shared" ref="L80:Q80" si="22">L78+L79</f>
        <v>7116388</v>
      </c>
      <c r="M80" s="164">
        <f t="shared" si="22"/>
        <v>15776556</v>
      </c>
      <c r="N80" s="164">
        <f t="shared" si="22"/>
        <v>11657246</v>
      </c>
      <c r="O80" s="164">
        <f t="shared" si="22"/>
        <v>10432077</v>
      </c>
      <c r="P80" s="164">
        <f t="shared" si="22"/>
        <v>14256428</v>
      </c>
      <c r="Q80" s="164">
        <f t="shared" si="22"/>
        <v>15249874</v>
      </c>
      <c r="R80" s="223">
        <f>SUM(R78:R79)</f>
        <v>14331019</v>
      </c>
      <c r="S80" s="223">
        <f>SUM(S78:S79)</f>
        <v>15152944</v>
      </c>
      <c r="T80" s="223">
        <f>SUM(T78:T79)</f>
        <v>11426162</v>
      </c>
      <c r="U80" s="326">
        <f>U78+U79</f>
        <v>13126619.000000004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7"/>
    </row>
    <row r="82" spans="2:21" ht="15" thickBot="1" x14ac:dyDescent="0.35">
      <c r="B82" s="137" t="s">
        <v>77</v>
      </c>
      <c r="C82" s="228"/>
      <c r="D82" s="165">
        <f>D80/D75</f>
        <v>0.35229327237831282</v>
      </c>
      <c r="E82" s="195">
        <f>E80/E75</f>
        <v>0.92604798578015601</v>
      </c>
      <c r="F82" s="195">
        <f>F80/F75</f>
        <v>0.94619621842095569</v>
      </c>
      <c r="G82" s="195">
        <f>G80/G75</f>
        <v>0.97464232984190446</v>
      </c>
      <c r="H82" s="290">
        <f>H80/H75</f>
        <v>0.96808557243490445</v>
      </c>
      <c r="I82" s="290">
        <f t="shared" ref="I82:L82" si="23">I80/I75</f>
        <v>0.92820715684929933</v>
      </c>
      <c r="J82" s="290">
        <f t="shared" si="23"/>
        <v>0.96550393584314576</v>
      </c>
      <c r="K82" s="294">
        <f t="shared" si="23"/>
        <v>0.96133106669464807</v>
      </c>
      <c r="L82" s="294">
        <f t="shared" si="23"/>
        <v>0.95511935388275915</v>
      </c>
      <c r="M82" s="294">
        <f t="shared" ref="M82:P82" si="24">M80/M75</f>
        <v>0.97152263070386102</v>
      </c>
      <c r="N82" s="294">
        <f t="shared" si="24"/>
        <v>0.97468612040133784</v>
      </c>
      <c r="O82" s="294">
        <f>O80/O75</f>
        <v>0.96907357176033437</v>
      </c>
      <c r="P82" s="290">
        <f t="shared" si="24"/>
        <v>0.96569880666350105</v>
      </c>
      <c r="Q82" s="290">
        <f>Q80/Q75</f>
        <v>0.97188668663565103</v>
      </c>
      <c r="R82" s="290">
        <f>R80/R75</f>
        <v>0.96161974099174663</v>
      </c>
      <c r="S82" s="290">
        <f>S80/S75</f>
        <v>0.95994475846875793</v>
      </c>
      <c r="T82" s="294">
        <f>T80/T75</f>
        <v>0.92865048500290559</v>
      </c>
      <c r="U82" s="328">
        <f>U80/U75</f>
        <v>0.91274928802167987</v>
      </c>
    </row>
    <row r="83" spans="2:21" ht="15" customHeight="1" x14ac:dyDescent="0.3">
      <c r="B83" s="184" t="s">
        <v>78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8" customFormat="1" ht="14.4" x14ac:dyDescent="0.3">
      <c r="B84" s="479" t="s">
        <v>79</v>
      </c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P84" s="389"/>
      <c r="Q84" s="389"/>
      <c r="R84" s="390"/>
      <c r="S84" s="390"/>
      <c r="T84" s="390"/>
      <c r="U84" s="390"/>
    </row>
    <row r="85" spans="2:21" s="388" customFormat="1" ht="15.75" customHeight="1" thickBot="1" x14ac:dyDescent="0.35">
      <c r="B85" s="481" t="s">
        <v>80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391"/>
      <c r="O85" s="391"/>
      <c r="P85" s="392"/>
      <c r="Q85" s="392"/>
      <c r="R85" s="393"/>
      <c r="S85" s="393"/>
      <c r="T85" s="393"/>
      <c r="U85" s="393"/>
    </row>
    <row r="86" spans="2:21" hidden="1" x14ac:dyDescent="0.2"/>
    <row r="87" spans="2:21" ht="13.2" hidden="1" x14ac:dyDescent="0.25">
      <c r="B87" s="2" t="s">
        <v>94</v>
      </c>
      <c r="D87" s="368">
        <f t="shared" ref="D87:J87" si="25">SUM(D48:D62)/D75</f>
        <v>3.3179035723365551E-2</v>
      </c>
      <c r="E87" s="368">
        <f t="shared" si="25"/>
        <v>1.8579935527623718E-2</v>
      </c>
      <c r="F87" s="368">
        <f t="shared" si="25"/>
        <v>1.2996605719806178E-2</v>
      </c>
      <c r="G87" s="368">
        <f t="shared" si="25"/>
        <v>2.4074633792450763E-2</v>
      </c>
      <c r="H87" s="368">
        <f t="shared" si="25"/>
        <v>3.5517793593088057E-2</v>
      </c>
      <c r="I87" s="368">
        <f t="shared" si="25"/>
        <v>3.2798196108462865E-2</v>
      </c>
      <c r="J87" s="368">
        <f t="shared" si="25"/>
        <v>3.3867893671165973E-2</v>
      </c>
      <c r="K87" s="89">
        <f>1-K82</f>
        <v>3.8668933305351927E-2</v>
      </c>
    </row>
    <row r="88" spans="2:21" hidden="1" x14ac:dyDescent="0.2"/>
    <row r="89" spans="2:21" hidden="1" x14ac:dyDescent="0.2">
      <c r="I89" s="2" t="s">
        <v>95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M1" sqref="B1:M1048576"/>
    </sheetView>
  </sheetViews>
  <sheetFormatPr defaultRowHeight="13.2" x14ac:dyDescent="0.25"/>
  <cols>
    <col min="1" max="1" width="12.33203125" style="50" customWidth="1"/>
    <col min="2" max="4" width="11.88671875" style="52" hidden="1" customWidth="1"/>
    <col min="5" max="5" width="11.44140625" style="52" hidden="1" customWidth="1"/>
    <col min="6" max="8" width="11.88671875" style="52" hidden="1" customWidth="1"/>
    <col min="9" max="9" width="13.109375" style="52" hidden="1" customWidth="1"/>
    <col min="10" max="10" width="11.44140625" hidden="1" customWidth="1"/>
    <col min="11" max="11" width="12.44140625" hidden="1" customWidth="1"/>
    <col min="12" max="13" width="12.44140625" style="213" hidden="1" customWidth="1"/>
    <col min="14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96</v>
      </c>
    </row>
    <row r="2" spans="1:20" ht="13.8" thickBot="1" x14ac:dyDescent="0.3">
      <c r="A2" s="369"/>
    </row>
    <row r="3" spans="1:20" ht="13.8" thickBot="1" x14ac:dyDescent="0.3">
      <c r="A3" s="51" t="s">
        <v>40</v>
      </c>
      <c r="B3" s="370"/>
      <c r="C3" s="370"/>
      <c r="D3" s="370"/>
      <c r="E3" s="370"/>
      <c r="F3" s="370"/>
      <c r="G3" s="370"/>
      <c r="H3" s="370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0" ht="13.8" thickBot="1" x14ac:dyDescent="0.3">
      <c r="A4" s="444" t="s">
        <v>72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47</v>
      </c>
      <c r="J4" s="253" t="s">
        <v>48</v>
      </c>
      <c r="K4" s="253" t="s">
        <v>49</v>
      </c>
      <c r="L4" s="253" t="s">
        <v>50</v>
      </c>
      <c r="M4" s="253" t="s">
        <v>51</v>
      </c>
      <c r="N4" s="253" t="s">
        <v>52</v>
      </c>
      <c r="O4" s="253" t="s">
        <v>53</v>
      </c>
      <c r="P4" s="253" t="s">
        <v>97</v>
      </c>
      <c r="Q4" s="253" t="s">
        <v>98</v>
      </c>
      <c r="R4" s="253" t="s">
        <v>120</v>
      </c>
      <c r="S4" s="253" t="s">
        <v>99</v>
      </c>
    </row>
    <row r="5" spans="1:20" ht="13.8" thickBot="1" x14ac:dyDescent="0.3">
      <c r="A5" s="372" t="s">
        <v>100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3" t="s">
        <v>101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9453000</v>
      </c>
      <c r="F6" s="55">
        <f>'Summary -White maize'!G78</f>
        <v>10560697</v>
      </c>
      <c r="G6" s="55">
        <f>'Summary -White maize'!H78</f>
        <v>10111706</v>
      </c>
      <c r="H6" s="55">
        <f>'Summary -White maize'!I78</f>
        <v>12777922</v>
      </c>
      <c r="I6" s="55">
        <f>'Summary -White maize'!J78</f>
        <v>8573837</v>
      </c>
      <c r="J6" s="55">
        <f>'Summary -White maize'!K78</f>
        <v>6295380</v>
      </c>
      <c r="K6" s="55">
        <f>'Summary -White maize'!L78</f>
        <v>14972363</v>
      </c>
      <c r="L6" s="55">
        <f>'Summary -White maize'!M78</f>
        <v>6101702</v>
      </c>
      <c r="M6" s="417">
        <f>'Summary -White maize'!N78</f>
        <v>5129093</v>
      </c>
      <c r="N6" s="417">
        <f>'Summary -White maize'!O78</f>
        <v>7972896</v>
      </c>
      <c r="O6" s="417">
        <f>'Summary -White maize'!P78</f>
        <v>7765398</v>
      </c>
      <c r="P6" s="417">
        <f>'Summary -White maize'!Q78</f>
        <v>7225030</v>
      </c>
      <c r="Q6" s="417">
        <f>'Summary -White maize'!R78</f>
        <v>7790695</v>
      </c>
      <c r="R6" s="417">
        <f>'Summary -White maize'!S78</f>
        <v>5083351</v>
      </c>
      <c r="S6" s="417">
        <f>AVERAGE(N6:R6)</f>
        <v>7167474</v>
      </c>
    </row>
    <row r="7" spans="1:20" ht="14.4" thickBot="1" x14ac:dyDescent="0.35">
      <c r="A7" s="59" t="s">
        <v>102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9859000</v>
      </c>
      <c r="F7" s="60">
        <f>'Summary -White maize'!G79</f>
        <v>11071095</v>
      </c>
      <c r="G7" s="60">
        <f>'Summary -White maize'!H79</f>
        <v>10381483</v>
      </c>
      <c r="H7" s="60">
        <f>'Summary -White maize'!I79</f>
        <v>13083045</v>
      </c>
      <c r="I7" s="60">
        <f>'Summary -White maize'!J79</f>
        <v>8748673</v>
      </c>
      <c r="J7" s="60">
        <f>'Summary -White maize'!K79</f>
        <v>6583436</v>
      </c>
      <c r="K7" s="60">
        <f>'Summary -White maize'!L79</f>
        <v>15582782</v>
      </c>
      <c r="L7" s="60">
        <f>'Summary -White maize'!M79</f>
        <v>6219071</v>
      </c>
      <c r="M7" s="60">
        <f>'Summary -White maize'!N79</f>
        <v>5214991</v>
      </c>
      <c r="N7" s="60">
        <f>'Summary -White maize'!O79</f>
        <v>8104137</v>
      </c>
      <c r="O7" s="60">
        <f>'Summary -White maize'!P79</f>
        <v>8202434</v>
      </c>
      <c r="P7" s="60">
        <f>'Summary -White maize'!Q79</f>
        <v>7366218</v>
      </c>
      <c r="Q7" s="60">
        <f>'Summary -White maize'!R79</f>
        <v>7984900</v>
      </c>
      <c r="R7" s="60">
        <f>'Summary -White maize'!S79</f>
        <v>5481643</v>
      </c>
      <c r="S7" s="440">
        <f>AVERAGE(N7:R7)</f>
        <v>7427866.4000000004</v>
      </c>
    </row>
    <row r="8" spans="1:20" ht="15" thickTop="1" thickBot="1" x14ac:dyDescent="0.35">
      <c r="A8" s="72" t="s">
        <v>103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1.6565048436678804</v>
      </c>
      <c r="F8" s="69">
        <f>'Summary -White maize'!G81</f>
        <v>1.6306059053319959</v>
      </c>
      <c r="G8" s="69">
        <f>'Summary -White maize'!H81</f>
        <v>1.8889649259496879</v>
      </c>
      <c r="H8" s="69">
        <f>'Summary -White maize'!I81</f>
        <v>1.7276471317630457</v>
      </c>
      <c r="I8" s="69">
        <f>'Summary -White maize'!J81</f>
        <v>1.891649963566701</v>
      </c>
      <c r="J8" s="69">
        <f>'Summary -White maize'!K81</f>
        <v>1.9550223195725664</v>
      </c>
      <c r="K8" s="69">
        <f>'Summary -White maize'!L81</f>
        <v>1.6086282646846288</v>
      </c>
      <c r="L8" s="69">
        <f>'Summary -White maize'!M81</f>
        <v>0.94206081592835633</v>
      </c>
      <c r="M8" s="69">
        <f>'Summary -White maize'!N81</f>
        <v>0.96842915506035288</v>
      </c>
      <c r="N8" s="69">
        <f>'Summary -White maize'!O81</f>
        <v>0.96348095599853056</v>
      </c>
      <c r="O8" s="69">
        <f>'Summary -White maize'!P81</f>
        <v>0.9767127887592284</v>
      </c>
      <c r="P8" s="69">
        <f>'Summary -White maize'!Q81</f>
        <v>0.9600179851427082</v>
      </c>
      <c r="Q8" s="69">
        <f>'Summary -White maize'!R81</f>
        <v>0.96378198338798049</v>
      </c>
      <c r="R8" s="69">
        <f>'Summary -White maize'!S81</f>
        <v>0.94233260559385257</v>
      </c>
      <c r="S8" s="214">
        <f>AVERAGE(N8:R8)</f>
        <v>0.96126526377645993</v>
      </c>
      <c r="T8" s="345"/>
    </row>
    <row r="9" spans="1:20" ht="13.8" thickBot="1" x14ac:dyDescent="0.3">
      <c r="A9" s="374"/>
      <c r="B9" s="370"/>
      <c r="C9" s="370"/>
      <c r="D9" s="370"/>
      <c r="E9" s="370"/>
      <c r="F9" s="370"/>
      <c r="G9" s="370"/>
      <c r="H9" s="370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0" ht="13.8" thickBot="1" x14ac:dyDescent="0.3">
      <c r="A10" s="74" t="s">
        <v>81</v>
      </c>
      <c r="B10" s="375"/>
      <c r="C10" s="375"/>
      <c r="D10" s="375"/>
      <c r="E10" s="375"/>
      <c r="F10" s="375"/>
      <c r="G10" s="375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</row>
    <row r="11" spans="1:20" ht="13.8" thickBot="1" x14ac:dyDescent="0.3">
      <c r="A11" s="445" t="s">
        <v>72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47</v>
      </c>
      <c r="J11" s="253" t="s">
        <v>48</v>
      </c>
      <c r="K11" s="253" t="s">
        <v>49</v>
      </c>
      <c r="L11" s="253" t="s">
        <v>104</v>
      </c>
      <c r="M11" s="253" t="s">
        <v>105</v>
      </c>
      <c r="N11" s="253" t="s">
        <v>106</v>
      </c>
      <c r="O11" s="253" t="s">
        <v>107</v>
      </c>
      <c r="P11" s="253" t="s">
        <v>54</v>
      </c>
      <c r="Q11" s="253" t="s">
        <v>98</v>
      </c>
      <c r="R11" s="253" t="s">
        <v>120</v>
      </c>
      <c r="S11" s="253" t="s">
        <v>99</v>
      </c>
    </row>
    <row r="12" spans="1:20" ht="13.8" thickBot="1" x14ac:dyDescent="0.3">
      <c r="A12" s="372" t="s">
        <v>100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3" t="s">
        <v>101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3717943</v>
      </c>
      <c r="F13" s="57">
        <f>'Summary -Yellow maize'!H79</f>
        <v>4308197</v>
      </c>
      <c r="G13" s="57">
        <f>'Summary -Yellow maize'!I79</f>
        <v>5125332</v>
      </c>
      <c r="H13" s="57">
        <f>'Summary -Yellow maize'!J79</f>
        <v>5634517</v>
      </c>
      <c r="I13" s="57">
        <f>'Summary -Yellow maize'!K79</f>
        <v>4338643</v>
      </c>
      <c r="J13" s="57">
        <f>'Summary -Yellow maize'!L79</f>
        <v>3439111</v>
      </c>
      <c r="K13" s="57">
        <f>'Summary -Yellow maize'!M79</f>
        <v>6042189</v>
      </c>
      <c r="L13" s="57">
        <f>'Summary -Yellow maize'!N79</f>
        <v>5316218</v>
      </c>
      <c r="M13" s="57">
        <f>'Summary -Yellow maize'!O79</f>
        <v>5036648</v>
      </c>
      <c r="N13" s="57">
        <f>'Summary -Yellow maize'!P79</f>
        <v>5938304</v>
      </c>
      <c r="O13" s="57">
        <f>'Summary -Yellow maize'!Q79</f>
        <v>6528705</v>
      </c>
      <c r="P13" s="57">
        <f>'Summary -Yellow maize'!R79</f>
        <v>6691941</v>
      </c>
      <c r="Q13" s="57">
        <f>'Summary -Yellow maize'!S79</f>
        <v>6658750</v>
      </c>
      <c r="R13" s="441">
        <f>'Summary -Yellow maize'!T79</f>
        <v>5235153</v>
      </c>
      <c r="S13" s="440">
        <f>AVERAGE(N13:R13)</f>
        <v>6210570.5999999996</v>
      </c>
    </row>
    <row r="14" spans="1:20" ht="14.4" thickBot="1" x14ac:dyDescent="0.35">
      <c r="A14" s="59" t="s">
        <v>102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3899943</v>
      </c>
      <c r="F14" s="60">
        <f>'Summary -Yellow maize'!H80</f>
        <v>4551242</v>
      </c>
      <c r="G14" s="60">
        <f>'Summary -Yellow maize'!I80</f>
        <v>5652301</v>
      </c>
      <c r="H14" s="60">
        <f>'Summary -Yellow maize'!J80</f>
        <v>5808178</v>
      </c>
      <c r="I14" s="60">
        <f>'Summary -Yellow maize'!K80</f>
        <v>4705763</v>
      </c>
      <c r="J14" s="60">
        <f>'Summary -Yellow maize'!L80</f>
        <v>3889066</v>
      </c>
      <c r="K14" s="60">
        <f>'Summary -Yellow maize'!M80</f>
        <v>6342831</v>
      </c>
      <c r="L14" s="60">
        <f>'Summary -Yellow maize'!N80</f>
        <v>5438766</v>
      </c>
      <c r="M14" s="60">
        <f>'Summary -Yellow maize'!O80</f>
        <v>5217693</v>
      </c>
      <c r="N14" s="60">
        <f>'Summary -Yellow maize'!P80</f>
        <v>6154795</v>
      </c>
      <c r="O14" s="60">
        <f>'Summary -Yellow maize'!Q80</f>
        <v>7048976</v>
      </c>
      <c r="P14" s="60">
        <f>'Summary -Yellow maize'!R80</f>
        <v>6964801</v>
      </c>
      <c r="Q14" s="60">
        <f>'Summary -Yellow maize'!S80</f>
        <v>7168044</v>
      </c>
      <c r="R14" s="60">
        <f>'Summary -Yellow maize'!T80</f>
        <v>5944519</v>
      </c>
      <c r="S14" s="60">
        <f t="shared" ref="S14" si="0">AVERAGE(L14:Q14)</f>
        <v>6332179.166666667</v>
      </c>
    </row>
    <row r="15" spans="1:20" ht="15" thickTop="1" thickBot="1" x14ac:dyDescent="0.35">
      <c r="A15" s="72" t="s">
        <v>103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0.99128344105437494</v>
      </c>
      <c r="F15" s="69">
        <f>'Summary -Yellow maize'!H82</f>
        <v>0.92928593757433531</v>
      </c>
      <c r="G15" s="69">
        <f>'Summary -Yellow maize'!I82</f>
        <v>0.96506190699531891</v>
      </c>
      <c r="H15" s="69">
        <f>'Summary -Yellow maize'!J82</f>
        <v>0.94325415308181959</v>
      </c>
      <c r="I15" s="69">
        <f>'Summary -Yellow maize'!K82</f>
        <v>0.96874637165008093</v>
      </c>
      <c r="J15" s="69">
        <f>'Summary -Yellow maize'!L82</f>
        <v>0.95242370453962155</v>
      </c>
      <c r="K15" s="69">
        <f>'Summary -Yellow maize'!M82</f>
        <v>0.96807554945054941</v>
      </c>
      <c r="L15" s="69">
        <f>'Summary -Yellow maize'!N82</f>
        <v>0.96775195729537367</v>
      </c>
      <c r="M15" s="69">
        <f>'Summary -Yellow maize'!O82</f>
        <v>0.9698314126394052</v>
      </c>
      <c r="N15" s="69">
        <f>'Summary -Yellow maize'!P82</f>
        <v>0.96903015035818307</v>
      </c>
      <c r="O15" s="69">
        <f>'Summary -Yellow maize'!Q82</f>
        <v>0.96653996983408752</v>
      </c>
      <c r="P15" s="69">
        <f>'Summary -Yellow maize'!R82</f>
        <v>0.96331964038727524</v>
      </c>
      <c r="Q15" s="69">
        <f>'Summary -Yellow maize'!S82</f>
        <v>0.96018678518899547</v>
      </c>
      <c r="R15" s="69">
        <f>'Summary -Yellow maize'!T82</f>
        <v>0.94403147555562616</v>
      </c>
      <c r="S15" s="214">
        <f>AVERAGE(N15:R15)</f>
        <v>0.96062160426483345</v>
      </c>
      <c r="T15" s="345"/>
    </row>
    <row r="16" spans="1:20" ht="13.8" thickBot="1" x14ac:dyDescent="0.3">
      <c r="A16" s="374"/>
      <c r="B16" s="370"/>
      <c r="C16" s="370"/>
      <c r="D16" s="370"/>
      <c r="E16" s="370"/>
      <c r="F16" s="370"/>
      <c r="G16" s="370"/>
      <c r="H16" s="370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</row>
    <row r="17" spans="1:20" ht="13.8" thickBot="1" x14ac:dyDescent="0.3">
      <c r="A17" s="74" t="s">
        <v>84</v>
      </c>
      <c r="B17" s="375"/>
      <c r="C17" s="375"/>
      <c r="D17" s="375"/>
      <c r="E17" s="375"/>
      <c r="F17" s="375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</row>
    <row r="18" spans="1:20" ht="13.8" thickBot="1" x14ac:dyDescent="0.3">
      <c r="A18" s="445" t="s">
        <v>72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47</v>
      </c>
      <c r="J18" s="253" t="s">
        <v>48</v>
      </c>
      <c r="K18" s="253" t="s">
        <v>49</v>
      </c>
      <c r="L18" s="253" t="s">
        <v>104</v>
      </c>
      <c r="M18" s="253" t="s">
        <v>105</v>
      </c>
      <c r="N18" s="253" t="s">
        <v>106</v>
      </c>
      <c r="O18" s="253" t="s">
        <v>107</v>
      </c>
      <c r="P18" s="253" t="s">
        <v>54</v>
      </c>
      <c r="Q18" s="253" t="s">
        <v>98</v>
      </c>
      <c r="R18" s="253" t="s">
        <v>120</v>
      </c>
      <c r="S18" s="253" t="s">
        <v>99</v>
      </c>
    </row>
    <row r="19" spans="1:20" x14ac:dyDescent="0.25">
      <c r="A19" s="372" t="s">
        <v>100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3" t="s">
        <v>101</v>
      </c>
      <c r="B20" s="57">
        <f>'Summary -Total maize'!D79</f>
        <v>3610000</v>
      </c>
      <c r="C20" s="57">
        <f>'Summary -Total maize'!E79</f>
        <v>10414000</v>
      </c>
      <c r="D20" s="57">
        <f>'Summary -Total maize'!F79</f>
        <v>10785000</v>
      </c>
      <c r="E20" s="58">
        <f>'Summary -Total maize'!G79</f>
        <v>9453000</v>
      </c>
      <c r="F20" s="57">
        <f>'Summary -Total maize'!H79</f>
        <v>10560697</v>
      </c>
      <c r="G20" s="57">
        <f>'Summary -Total maize'!I79</f>
        <v>10111706</v>
      </c>
      <c r="H20" s="57">
        <f>'Summary -Total maize'!J79</f>
        <v>12777922</v>
      </c>
      <c r="I20" s="57">
        <f>'Summary -Total maize'!K79</f>
        <v>8573837</v>
      </c>
      <c r="J20" s="57">
        <f>'Summary -Total maize'!L79</f>
        <v>6295380</v>
      </c>
      <c r="K20" s="57">
        <f>'Summary -Total maize'!M79</f>
        <v>14972363</v>
      </c>
      <c r="L20" s="57">
        <f>'Summary -Total maize'!N79</f>
        <v>11417329</v>
      </c>
      <c r="M20" s="57">
        <f>'Summary -Total maize'!O79</f>
        <v>10165134</v>
      </c>
      <c r="N20" s="57">
        <f>'Summary -Total maize'!P79</f>
        <v>13908696</v>
      </c>
      <c r="O20" s="57">
        <f>'Summary -Total maize'!Q79</f>
        <v>14292567</v>
      </c>
      <c r="P20" s="57">
        <f>'Summary -Total maize'!R79</f>
        <v>13916971</v>
      </c>
      <c r="Q20" s="57">
        <f>'Summary -Total maize'!S79</f>
        <v>14449445</v>
      </c>
      <c r="R20" s="57">
        <f>'Summary -Total maize'!T79</f>
        <v>10318504</v>
      </c>
      <c r="S20" s="57">
        <f>AVERAGE(N20:R20)</f>
        <v>13377236.6</v>
      </c>
    </row>
    <row r="21" spans="1:20" ht="14.4" thickBot="1" x14ac:dyDescent="0.35">
      <c r="A21" s="59" t="s">
        <v>102</v>
      </c>
      <c r="B21" s="60">
        <f>'Summary -Total maize'!D80</f>
        <v>4279033</v>
      </c>
      <c r="C21" s="60">
        <f>'Summary -Total maize'!E80</f>
        <v>10765719</v>
      </c>
      <c r="D21" s="60">
        <f>'Summary -Total maize'!F80</f>
        <v>10920500</v>
      </c>
      <c r="E21" s="61">
        <f>'Summary -Total maize'!G80</f>
        <v>9635240</v>
      </c>
      <c r="F21" s="60">
        <f>'Summary -Total maize'!H80</f>
        <v>11314140</v>
      </c>
      <c r="G21" s="60">
        <f>'Summary -Total maize'!I80</f>
        <v>10537740</v>
      </c>
      <c r="H21" s="60">
        <f>'Summary -Total maize'!J80</f>
        <v>13256706</v>
      </c>
      <c r="I21" s="60">
        <f>'Summary -Total maize'!K80</f>
        <v>9115793</v>
      </c>
      <c r="J21" s="60">
        <f>'Summary -Total maize'!L80</f>
        <v>7116388</v>
      </c>
      <c r="K21" s="60">
        <f>'Summary -Total maize'!M80</f>
        <v>15776556</v>
      </c>
      <c r="L21" s="60">
        <f>'Summary -Total maize'!N80</f>
        <v>11657246</v>
      </c>
      <c r="M21" s="60">
        <f>'Summary -Total maize'!O80</f>
        <v>10432077</v>
      </c>
      <c r="N21" s="60">
        <f>'Summary -Total maize'!P80</f>
        <v>14256428</v>
      </c>
      <c r="O21" s="60">
        <f>'Summary -Total maize'!Q80</f>
        <v>15249874</v>
      </c>
      <c r="P21" s="60">
        <f>'Summary -Total maize'!R80</f>
        <v>14331019</v>
      </c>
      <c r="Q21" s="60">
        <f>'Summary -Total maize'!S80</f>
        <v>15152944</v>
      </c>
      <c r="R21" s="60">
        <f>'Summary -Total maize'!T80</f>
        <v>11426162</v>
      </c>
      <c r="S21" s="60">
        <f t="shared" ref="S21" si="1">AVERAGE(L21:Q21)</f>
        <v>13513264.666666666</v>
      </c>
    </row>
    <row r="22" spans="1:20" ht="15" thickTop="1" thickBot="1" x14ac:dyDescent="0.35">
      <c r="A22" s="62" t="s">
        <v>103</v>
      </c>
      <c r="B22" s="63">
        <f>'Summary -Total maize'!D82</f>
        <v>0.35229327237831282</v>
      </c>
      <c r="C22" s="63">
        <f>'Summary -Total maize'!E82</f>
        <v>0.92604798578015601</v>
      </c>
      <c r="D22" s="63">
        <f>'Summary -Total maize'!F82</f>
        <v>0.94619621842095569</v>
      </c>
      <c r="E22" s="64">
        <f>'Summary -Total maize'!G82</f>
        <v>0.97464232984190446</v>
      </c>
      <c r="F22" s="64">
        <f>'Summary -Total maize'!H82</f>
        <v>0.96808557243490445</v>
      </c>
      <c r="G22" s="64">
        <f>'Summary -Total maize'!I82</f>
        <v>0.92820715684929933</v>
      </c>
      <c r="H22" s="64">
        <f>'Summary -Total maize'!J82</f>
        <v>0.96550393584314576</v>
      </c>
      <c r="I22" s="64">
        <f>'Summary -Total maize'!K82</f>
        <v>0.96133106669464807</v>
      </c>
      <c r="J22" s="64">
        <f>'Summary -Total maize'!L82</f>
        <v>0.95511935388275915</v>
      </c>
      <c r="K22" s="64">
        <f>'Summary -Total maize'!M82</f>
        <v>0.97152263070386102</v>
      </c>
      <c r="L22" s="64">
        <f>'Summary -Total maize'!N82</f>
        <v>0.97468612040133784</v>
      </c>
      <c r="M22" s="64">
        <f>'Summary -Total maize'!O82</f>
        <v>0.96907357176033437</v>
      </c>
      <c r="N22" s="64">
        <f>'Summary -Total maize'!P82</f>
        <v>0.96569880666350105</v>
      </c>
      <c r="O22" s="64">
        <f>'Summary -Total maize'!Q82</f>
        <v>0.97188668663565103</v>
      </c>
      <c r="P22" s="64">
        <f>'Summary -Total maize'!R82</f>
        <v>0.96161974099174663</v>
      </c>
      <c r="Q22" s="64">
        <f>'Summary -Total maize'!S82</f>
        <v>0.95994475846875793</v>
      </c>
      <c r="R22" s="64">
        <f>'Summary -Total maize'!T82</f>
        <v>0.92865048500290559</v>
      </c>
      <c r="S22" s="215">
        <f>AVERAGE(N22:R22)</f>
        <v>0.95756009555251254</v>
      </c>
      <c r="T22" s="345"/>
    </row>
    <row r="23" spans="1:20" x14ac:dyDescent="0.25">
      <c r="A23" s="369" t="s">
        <v>108</v>
      </c>
      <c r="K23" s="363"/>
      <c r="L23" s="363"/>
      <c r="M23" s="363"/>
      <c r="N23" s="363"/>
      <c r="O23" s="363"/>
      <c r="P23" s="363"/>
      <c r="Q23" s="363"/>
      <c r="R23" s="363"/>
    </row>
    <row r="24" spans="1:20" x14ac:dyDescent="0.25">
      <c r="A24" s="369" t="s">
        <v>121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3" workbookViewId="0">
      <selection activeCell="O8" sqref="O8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2024-11-20T10:24:29Z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