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B80C3F17-EA62-485C-8C46-16D759838460}" xr6:coauthVersionLast="47" xr6:coauthVersionMax="47" xr10:uidLastSave="{00000000-0000-0000-0000-000000000000}"/>
  <bookViews>
    <workbookView xWindow="-108" yWindow="-108" windowWidth="23256" windowHeight="12456" tabRatio="863" activeTab="11" xr2:uid="{00000000-000D-0000-FFFF-FFFF00000000}"/>
  </bookViews>
  <sheets>
    <sheet name="Invoere 4jr vgl" sheetId="15" r:id="rId1"/>
    <sheet name="Invoere 2024_25" sheetId="9" r:id="rId2"/>
    <sheet name="Uitvoere 2024_25" sheetId="10" r:id="rId3"/>
    <sheet name="In en uitvoere 2019_20" sheetId="6" state="hidden" r:id="rId4"/>
    <sheet name="Data 2017_18" sheetId="17" state="hidden" r:id="rId5"/>
    <sheet name="Data 2018_19" sheetId="20" state="hidden" r:id="rId6"/>
    <sheet name="Data 2019_20" sheetId="19" state="hidden" r:id="rId7"/>
    <sheet name="Data 2020_21" sheetId="21" state="hidden" r:id="rId8"/>
    <sheet name="Data 2021_22" sheetId="22" state="hidden" r:id="rId9"/>
    <sheet name="Data 2022_23" sheetId="23" r:id="rId10"/>
    <sheet name="Data 2023_24" sheetId="24" r:id="rId11"/>
    <sheet name="Data 2024_25" sheetId="25" r:id="rId12"/>
    <sheet name="Land-Country data" sheetId="3" r:id="rId13"/>
    <sheet name="Import per harbour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3" i="3" l="1"/>
  <c r="X33" i="3"/>
  <c r="E23" i="3"/>
  <c r="B25" i="25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D4" i="25"/>
  <c r="X67" i="3"/>
  <c r="X59" i="3"/>
  <c r="X58" i="3"/>
  <c r="X60" i="3"/>
  <c r="X44" i="3"/>
  <c r="X42" i="3"/>
  <c r="B23" i="25"/>
  <c r="B24" i="25" s="1"/>
  <c r="B19" i="25"/>
  <c r="B20" i="25" s="1"/>
  <c r="B21" i="25" s="1"/>
  <c r="B22" i="25" s="1"/>
  <c r="X57" i="3" l="1"/>
  <c r="B18" i="25"/>
  <c r="B16" i="25"/>
  <c r="B17" i="25" s="1"/>
  <c r="E24" i="3"/>
  <c r="B15" i="25"/>
  <c r="X31" i="3"/>
  <c r="B13" i="25"/>
  <c r="B14" i="25"/>
  <c r="B12" i="25"/>
  <c r="B11" i="25"/>
  <c r="X54" i="3"/>
  <c r="E22" i="3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D10" i="25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61" i="25" s="1"/>
  <c r="D4" i="24"/>
  <c r="W67" i="3"/>
  <c r="W59" i="3"/>
  <c r="W58" i="3"/>
  <c r="W57" i="3"/>
  <c r="W44" i="3"/>
  <c r="W43" i="3"/>
  <c r="W42" i="3"/>
  <c r="W36" i="3"/>
  <c r="W33" i="3"/>
  <c r="G61" i="24"/>
  <c r="B61" i="24"/>
  <c r="X47" i="3" l="1"/>
  <c r="X69" i="3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W60" i="3"/>
  <c r="W55" i="3"/>
  <c r="W35" i="3"/>
  <c r="W28" i="3"/>
  <c r="W69" i="3" l="1"/>
  <c r="W30" i="3"/>
  <c r="W31" i="3" l="1"/>
  <c r="B23" i="24"/>
  <c r="E21" i="3"/>
  <c r="E20" i="3"/>
  <c r="V67" i="3"/>
  <c r="V60" i="3"/>
  <c r="V59" i="3"/>
  <c r="V58" i="3"/>
  <c r="V57" i="3"/>
  <c r="V56" i="3"/>
  <c r="V45" i="3"/>
  <c r="V44" i="3"/>
  <c r="V43" i="3"/>
  <c r="V42" i="3"/>
  <c r="V38" i="3"/>
  <c r="V36" i="3"/>
  <c r="V35" i="3"/>
  <c r="V33" i="3"/>
  <c r="V32" i="3"/>
  <c r="V30" i="3"/>
  <c r="W54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G60" i="23"/>
  <c r="G59" i="23"/>
  <c r="G58" i="23"/>
  <c r="B59" i="23"/>
  <c r="B60" i="23" s="1"/>
  <c r="B58" i="23"/>
  <c r="G56" i="23"/>
  <c r="G57" i="23"/>
  <c r="W47" i="3" l="1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H58" i="24" s="1"/>
  <c r="H59" i="24" s="1"/>
  <c r="H60" i="24" s="1"/>
  <c r="H61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4" i="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7" i="3"/>
  <c r="U60" i="3"/>
  <c r="U59" i="3"/>
  <c r="U58" i="3"/>
  <c r="U57" i="3"/>
  <c r="U43" i="3"/>
  <c r="U36" i="3"/>
  <c r="U35" i="3"/>
  <c r="B56" i="22"/>
  <c r="B55" i="22"/>
  <c r="B54" i="22"/>
  <c r="B53" i="22"/>
  <c r="U44" i="3"/>
  <c r="B52" i="22"/>
  <c r="U38" i="3"/>
  <c r="B51" i="22"/>
  <c r="B50" i="22"/>
  <c r="B49" i="22"/>
  <c r="B48" i="22"/>
  <c r="B47" i="22"/>
  <c r="U30" i="3"/>
  <c r="B46" i="22"/>
  <c r="B45" i="22"/>
  <c r="B44" i="22"/>
  <c r="B42" i="22"/>
  <c r="B43" i="22" s="1"/>
  <c r="B41" i="22"/>
  <c r="B40" i="22"/>
  <c r="U56" i="3"/>
  <c r="B39" i="22"/>
  <c r="B38" i="22"/>
  <c r="B37" i="22"/>
  <c r="B36" i="22"/>
  <c r="B35" i="22"/>
  <c r="B34" i="22"/>
  <c r="B33" i="22"/>
  <c r="B32" i="22"/>
  <c r="B31" i="22"/>
  <c r="B30" i="22"/>
  <c r="B29" i="22"/>
  <c r="U42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60" i="3"/>
  <c r="T58" i="3"/>
  <c r="T57" i="3"/>
  <c r="T56" i="3"/>
  <c r="T43" i="3"/>
  <c r="T42" i="3"/>
  <c r="T36" i="3"/>
  <c r="T33" i="3"/>
  <c r="T31" i="3"/>
  <c r="B61" i="21"/>
  <c r="B60" i="21"/>
  <c r="B59" i="21"/>
  <c r="B58" i="21"/>
  <c r="T67" i="3"/>
  <c r="T59" i="3"/>
  <c r="B57" i="21"/>
  <c r="T30" i="3"/>
  <c r="B56" i="21"/>
  <c r="B55" i="21"/>
  <c r="B54" i="21"/>
  <c r="B53" i="21"/>
  <c r="B52" i="21"/>
  <c r="B51" i="21"/>
  <c r="B50" i="21"/>
  <c r="B49" i="21"/>
  <c r="B47" i="21"/>
  <c r="B48" i="21"/>
  <c r="T44" i="3"/>
  <c r="T32" i="3"/>
  <c r="B43" i="21"/>
  <c r="B44" i="21"/>
  <c r="B45" i="21"/>
  <c r="B46" i="21"/>
  <c r="T45" i="3"/>
  <c r="T65" i="3"/>
  <c r="T37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60" i="3"/>
  <c r="S58" i="3"/>
  <c r="S57" i="3"/>
  <c r="S56" i="3"/>
  <c r="S44" i="3"/>
  <c r="S43" i="3"/>
  <c r="S33" i="3"/>
  <c r="S32" i="3"/>
  <c r="S31" i="3"/>
  <c r="S30" i="3"/>
  <c r="S37" i="3"/>
  <c r="S67" i="3"/>
  <c r="S40" i="3"/>
  <c r="D4" i="20"/>
  <c r="S42" i="3"/>
  <c r="S45" i="3"/>
  <c r="S59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7" i="3"/>
  <c r="R60" i="3"/>
  <c r="R57" i="3"/>
  <c r="R44" i="3"/>
  <c r="R43" i="3"/>
  <c r="R33" i="3"/>
  <c r="R32" i="3"/>
  <c r="R30" i="3"/>
  <c r="R58" i="3"/>
  <c r="R31" i="3"/>
  <c r="R45" i="3"/>
  <c r="R42" i="3"/>
  <c r="R37" i="3"/>
  <c r="R59" i="3"/>
  <c r="R65" i="3"/>
  <c r="R35" i="3"/>
  <c r="R56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8" i="3"/>
  <c r="Q57" i="3"/>
  <c r="Q33" i="3"/>
  <c r="Q67" i="3"/>
  <c r="Q60" i="3"/>
  <c r="Q45" i="3"/>
  <c r="Q44" i="3"/>
  <c r="Q35" i="3"/>
  <c r="Q32" i="3"/>
  <c r="Q31" i="3"/>
  <c r="Q30" i="3"/>
  <c r="Q56" i="3"/>
  <c r="Q42" i="3"/>
  <c r="Q43" i="3"/>
  <c r="Q37" i="3"/>
  <c r="Q46" i="3"/>
  <c r="Q59" i="3"/>
  <c r="G19" i="17"/>
  <c r="P60" i="3"/>
  <c r="P57" i="3"/>
  <c r="P37" i="3"/>
  <c r="P46" i="3"/>
  <c r="P58" i="3"/>
  <c r="P42" i="3"/>
  <c r="P45" i="3"/>
  <c r="P36" i="3"/>
  <c r="P33" i="3"/>
  <c r="P32" i="3"/>
  <c r="P30" i="3"/>
  <c r="P59" i="3"/>
  <c r="P56" i="3"/>
  <c r="P44" i="3"/>
  <c r="P67" i="3"/>
  <c r="P31" i="3"/>
  <c r="P35" i="3"/>
  <c r="P65" i="3"/>
  <c r="O59" i="3"/>
  <c r="O37" i="3"/>
  <c r="O33" i="3"/>
  <c r="O32" i="3"/>
  <c r="O47" i="3" s="1"/>
  <c r="O30" i="3"/>
  <c r="O60" i="3"/>
  <c r="O57" i="3"/>
  <c r="O56" i="3"/>
  <c r="O58" i="3"/>
  <c r="O44" i="3"/>
  <c r="O43" i="3"/>
  <c r="O36" i="3"/>
  <c r="O31" i="3"/>
  <c r="O35" i="3"/>
  <c r="O67" i="3"/>
  <c r="O65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7" i="3"/>
  <c r="N65" i="3"/>
  <c r="N60" i="3"/>
  <c r="N59" i="3"/>
  <c r="N58" i="3"/>
  <c r="N57" i="3"/>
  <c r="N56" i="3"/>
  <c r="N37" i="3"/>
  <c r="N33" i="3"/>
  <c r="N32" i="3"/>
  <c r="N31" i="3"/>
  <c r="N30" i="3"/>
  <c r="N64" i="3"/>
  <c r="N36" i="3"/>
  <c r="N35" i="3"/>
  <c r="N44" i="3"/>
  <c r="N43" i="3"/>
  <c r="N42" i="3"/>
  <c r="M59" i="3"/>
  <c r="M60" i="3"/>
  <c r="M58" i="3"/>
  <c r="M57" i="3"/>
  <c r="M56" i="3"/>
  <c r="M32" i="3"/>
  <c r="M37" i="3"/>
  <c r="M33" i="3"/>
  <c r="M30" i="3"/>
  <c r="M31" i="3"/>
  <c r="M36" i="3"/>
  <c r="M42" i="3"/>
  <c r="M43" i="3"/>
  <c r="L60" i="3"/>
  <c r="L59" i="3"/>
  <c r="L58" i="3"/>
  <c r="L57" i="3"/>
  <c r="L56" i="3"/>
  <c r="L38" i="3"/>
  <c r="L34" i="3"/>
  <c r="L33" i="3"/>
  <c r="L37" i="3"/>
  <c r="L32" i="3"/>
  <c r="L27" i="3"/>
  <c r="L31" i="3"/>
  <c r="L29" i="3"/>
  <c r="L36" i="3"/>
  <c r="L30" i="3"/>
  <c r="L35" i="3"/>
  <c r="K67" i="3"/>
  <c r="K59" i="3"/>
  <c r="K60" i="3"/>
  <c r="K58" i="3"/>
  <c r="K56" i="3"/>
  <c r="K46" i="3"/>
  <c r="K35" i="3"/>
  <c r="K34" i="3"/>
  <c r="K33" i="3"/>
  <c r="K38" i="3"/>
  <c r="K57" i="3"/>
  <c r="K37" i="3"/>
  <c r="K30" i="3"/>
  <c r="K36" i="3"/>
  <c r="K31" i="3"/>
  <c r="K65" i="3"/>
  <c r="K32" i="3"/>
  <c r="K43" i="3"/>
  <c r="J56" i="3"/>
  <c r="J57" i="3"/>
  <c r="J65" i="3"/>
  <c r="J60" i="3"/>
  <c r="J36" i="3"/>
  <c r="J32" i="3"/>
  <c r="J58" i="3"/>
  <c r="J59" i="3"/>
  <c r="J30" i="3"/>
  <c r="J35" i="3"/>
  <c r="J67" i="3"/>
  <c r="J38" i="3"/>
  <c r="J31" i="3"/>
  <c r="J34" i="3"/>
  <c r="I30" i="3"/>
  <c r="I36" i="3"/>
  <c r="I32" i="3"/>
  <c r="I38" i="3"/>
  <c r="I43" i="3"/>
  <c r="I37" i="3"/>
  <c r="I31" i="3"/>
  <c r="I58" i="3"/>
  <c r="I56" i="3"/>
  <c r="I57" i="3"/>
  <c r="I59" i="3"/>
  <c r="I60" i="3"/>
  <c r="H58" i="3"/>
  <c r="H56" i="3"/>
  <c r="H59" i="3"/>
  <c r="H60" i="3"/>
  <c r="H32" i="3"/>
  <c r="H38" i="3"/>
  <c r="H57" i="3"/>
  <c r="H37" i="3"/>
  <c r="H33" i="3"/>
  <c r="H31" i="3"/>
  <c r="H30" i="3"/>
  <c r="H36" i="3"/>
  <c r="H65" i="3"/>
  <c r="H35" i="3"/>
  <c r="H67" i="3"/>
  <c r="G56" i="3"/>
  <c r="G61" i="3"/>
  <c r="G35" i="3"/>
  <c r="G31" i="3"/>
  <c r="G58" i="3"/>
  <c r="G57" i="3"/>
  <c r="G60" i="3"/>
  <c r="G30" i="3"/>
  <c r="G67" i="3"/>
  <c r="G32" i="3"/>
  <c r="G59" i="3"/>
  <c r="G65" i="3"/>
  <c r="F60" i="3"/>
  <c r="F57" i="3"/>
  <c r="F30" i="3"/>
  <c r="F31" i="3"/>
  <c r="F56" i="3"/>
  <c r="F59" i="3"/>
  <c r="F35" i="3"/>
  <c r="F32" i="3"/>
  <c r="F65" i="3"/>
  <c r="F67" i="3"/>
  <c r="F58" i="3"/>
  <c r="F63" i="3"/>
  <c r="E60" i="3"/>
  <c r="E59" i="3"/>
  <c r="E67" i="3"/>
  <c r="E58" i="3"/>
  <c r="E57" i="3"/>
  <c r="E31" i="3"/>
  <c r="E32" i="3"/>
  <c r="E35" i="3"/>
  <c r="E37" i="3"/>
  <c r="E36" i="3"/>
  <c r="E30" i="3"/>
  <c r="E41" i="3"/>
  <c r="D35" i="3"/>
  <c r="D30" i="3"/>
  <c r="D57" i="3"/>
  <c r="D59" i="3"/>
  <c r="D60" i="3"/>
  <c r="D32" i="3"/>
  <c r="D36" i="3"/>
  <c r="D31" i="3"/>
  <c r="D67" i="3"/>
  <c r="C59" i="3"/>
  <c r="D58" i="3"/>
  <c r="D68" i="3"/>
  <c r="C60" i="3"/>
  <c r="C58" i="3"/>
  <c r="C57" i="3"/>
  <c r="C35" i="3"/>
  <c r="C36" i="3"/>
  <c r="C30" i="3"/>
  <c r="C47" i="3" s="1"/>
  <c r="C67" i="3"/>
  <c r="B67" i="3"/>
  <c r="B59" i="3"/>
  <c r="B60" i="3"/>
  <c r="B47" i="3"/>
  <c r="B56" i="3"/>
  <c r="B58" i="3"/>
  <c r="N69" i="3" l="1"/>
  <c r="K47" i="3"/>
  <c r="B69" i="3"/>
  <c r="S47" i="3"/>
  <c r="H47" i="3"/>
  <c r="M69" i="3"/>
  <c r="T69" i="3"/>
  <c r="L69" i="3"/>
  <c r="T47" i="3"/>
  <c r="E47" i="3"/>
  <c r="F47" i="3"/>
  <c r="H69" i="3"/>
  <c r="O69" i="3"/>
  <c r="P47" i="3"/>
  <c r="Q69" i="3"/>
  <c r="R47" i="3"/>
  <c r="S69" i="3"/>
  <c r="N47" i="3"/>
  <c r="G47" i="3"/>
  <c r="J47" i="3"/>
  <c r="J69" i="3"/>
  <c r="M47" i="3"/>
  <c r="R69" i="3"/>
  <c r="K69" i="3"/>
  <c r="L47" i="3"/>
  <c r="D47" i="3"/>
  <c r="F69" i="3"/>
  <c r="G69" i="3"/>
  <c r="I69" i="3"/>
  <c r="I47" i="3"/>
  <c r="P69" i="3"/>
  <c r="D69" i="3"/>
  <c r="C69" i="3"/>
  <c r="E69" i="3"/>
  <c r="Q47" i="3"/>
  <c r="V69" i="3"/>
  <c r="V47" i="3"/>
  <c r="B57" i="23"/>
  <c r="U47" i="3"/>
  <c r="U69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E52" i="3" l="1"/>
</calcChain>
</file>

<file path=xl/sharedStrings.xml><?xml version="1.0" encoding="utf-8"?>
<sst xmlns="http://schemas.openxmlformats.org/spreadsheetml/2006/main" count="348" uniqueCount="139">
  <si>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</si>
  <si>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</si>
  <si>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</si>
  <si>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</si>
  <si>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</si>
  <si>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</si>
  <si>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</si>
  <si>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</si>
  <si>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</si>
  <si>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</si>
  <si>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</si>
  <si>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</si>
  <si>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</si>
  <si>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</si>
  <si>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</si>
  <si>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</si>
  <si>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</si>
  <si>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</si>
  <si>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</si>
  <si>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</si>
  <si>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</si>
  <si>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</si>
  <si>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</si>
  <si>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</si>
  <si>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</si>
  <si>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</si>
  <si>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</si>
  <si>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</si>
  <si>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</si>
  <si>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</si>
  <si>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</si>
  <si>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</si>
  <si>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</si>
  <si>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</si>
  <si>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</si>
  <si>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</si>
  <si>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</si>
  <si>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</si>
  <si>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</si>
  <si>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</si>
  <si>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</si>
  <si>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</si>
  <si>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</si>
  <si>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</si>
  <si>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</si>
  <si>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</si>
  <si>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</si>
  <si>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</si>
  <si>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</si>
  <si>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</si>
  <si>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</si>
  <si>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</si>
  <si>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</si>
  <si>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</si>
  <si>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</si>
  <si>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</si>
  <si>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</si>
  <si>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</si>
  <si>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</si>
  <si>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</si>
  <si>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</si>
  <si>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</si>
  <si>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</si>
  <si>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</si>
  <si>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</si>
  <si>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</si>
  <si>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</si>
  <si>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</si>
  <si>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</si>
  <si>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</si>
  <si>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</si>
  <si>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</si>
  <si>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</si>
  <si>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</si>
  <si>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</si>
  <si>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</si>
  <si>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</si>
  <si>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</si>
  <si>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</si>
  <si>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</si>
  <si>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</si>
  <si>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</si>
  <si>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</si>
  <si>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</si>
  <si>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</si>
  <si>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</si>
  <si>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</si>
  <si>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</si>
  <si>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</si>
  <si>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</si>
  <si>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</si>
  <si>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</si>
  <si>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</si>
  <si>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</si>
  <si>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</si>
  <si>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2020/2021</t>
  </si>
  <si>
    <t>SAGIS: WEEKLIKSE INVOERE EN UITVOERE - KORING 2020/21</t>
  </si>
  <si>
    <t>SAGIS: WEEKLY IMPORTS AND EXPORTS - WHEAT 2020/21</t>
  </si>
  <si>
    <t>SAGIS: WEEKLIKSE INVOERE EN UITVOERE - KORING 2021/22</t>
  </si>
  <si>
    <t>SAGIS: WEEKLY IMPORTS AND EXPORTS - WHEAT 2021/22</t>
  </si>
  <si>
    <t>2021/2022</t>
  </si>
  <si>
    <t>Vanaf/From 07 Okt/Oct 2022 -</t>
  </si>
  <si>
    <t>2022/2023</t>
  </si>
  <si>
    <t>2023/2024</t>
  </si>
  <si>
    <t>Vanaf/From 06 Okt/Oct 2023 -</t>
  </si>
  <si>
    <t>SAGIS: WEEKLIKSE INVOERE EN UITVOERE - KORING 2023/24</t>
  </si>
  <si>
    <t>SAGIS: WEEKLY IMPORTS AND EXPORTS - WHEAT 2023/24</t>
  </si>
  <si>
    <t>Estonia</t>
  </si>
  <si>
    <t>Congo</t>
  </si>
  <si>
    <t xml:space="preserve">* Includes: Imports for RSA and other Countries </t>
  </si>
  <si>
    <t xml:space="preserve">* Sluit in: Invoere vir RSA en ander lande </t>
  </si>
  <si>
    <t>Total</t>
  </si>
  <si>
    <t>SAGIS: WEEKLY IMPORTS AND EXPORTS - WHEAT 2024/25</t>
  </si>
  <si>
    <t>SAGIS: WEEKLIKSE INVOERE EN UITVOERE - KORING 2024/25</t>
  </si>
  <si>
    <t>2024/2025</t>
  </si>
  <si>
    <t>Vanaf/From 04 Okt/Oct 2024 -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</si>
  <si>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</si>
  <si>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</si>
  <si>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</si>
  <si>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</si>
  <si>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</si>
  <si>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</si>
  <si>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</si>
  <si>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</si>
  <si>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</si>
  <si>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</si>
  <si>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</si>
  <si>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</si>
  <si>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</si>
  <si>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</si>
  <si>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</si>
  <si>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*Week Total/Totaal</t>
  </si>
  <si>
    <t>*Progressive Total/Totaal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</si>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</sst>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Aptos"/>
      <family val="2"/>
    </font>
    <font>
      <b/>
      <sz val="12"/>
      <color rgb="FF000000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2" borderId="40" applyNumberFormat="0" applyAlignment="0" applyProtection="0"/>
    <xf numFmtId="0" fontId="8" fillId="0" borderId="0"/>
    <xf numFmtId="0" fontId="9" fillId="0" borderId="0"/>
  </cellStyleXfs>
  <cellXfs count="130">
    <xf numFmtId="0" fontId="0" fillId="0" borderId="0" xfId="0"/>
    <xf numFmtId="165" fontId="0" fillId="0" borderId="1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0" fontId="2" fillId="0" borderId="0" xfId="0" applyFont="1"/>
    <xf numFmtId="165" fontId="0" fillId="0" borderId="0" xfId="1" applyNumberFormat="1" applyFont="1" applyBorder="1"/>
    <xf numFmtId="165" fontId="3" fillId="0" borderId="2" xfId="1" applyNumberFormat="1" applyFont="1" applyBorder="1"/>
    <xf numFmtId="49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2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2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2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2" fillId="0" borderId="22" xfId="1" applyNumberFormat="1" applyFont="1" applyFill="1" applyBorder="1"/>
    <xf numFmtId="165" fontId="2" fillId="0" borderId="4" xfId="1" applyNumberFormat="1" applyFont="1" applyFill="1" applyBorder="1"/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1" applyNumberFormat="1" applyFont="1" applyFill="1" applyBorder="1"/>
    <xf numFmtId="165" fontId="2" fillId="0" borderId="26" xfId="1" applyNumberFormat="1" applyFont="1" applyFill="1" applyBorder="1"/>
    <xf numFmtId="165" fontId="2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4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28" xfId="1" applyNumberFormat="1" applyFont="1" applyBorder="1"/>
    <xf numFmtId="165" fontId="0" fillId="0" borderId="28" xfId="1" applyNumberFormat="1" applyFont="1" applyBorder="1"/>
    <xf numFmtId="0" fontId="5" fillId="0" borderId="0" xfId="0" applyFont="1" applyAlignment="1">
      <alignment horizontal="left"/>
    </xf>
    <xf numFmtId="165" fontId="2" fillId="0" borderId="29" xfId="1" applyNumberFormat="1" applyFont="1" applyFill="1" applyBorder="1"/>
    <xf numFmtId="15" fontId="5" fillId="0" borderId="0" xfId="0" applyNumberFormat="1" applyFont="1" applyAlignment="1">
      <alignment horizontal="left"/>
    </xf>
    <xf numFmtId="1" fontId="0" fillId="0" borderId="11" xfId="0" applyNumberForma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2" fillId="0" borderId="11" xfId="0" applyFont="1" applyBorder="1"/>
    <xf numFmtId="165" fontId="5" fillId="0" borderId="13" xfId="0" applyNumberFormat="1" applyFont="1" applyBorder="1"/>
    <xf numFmtId="165" fontId="5" fillId="0" borderId="11" xfId="0" applyNumberFormat="1" applyFont="1" applyBorder="1"/>
    <xf numFmtId="165" fontId="5" fillId="0" borderId="15" xfId="0" applyNumberFormat="1" applyFont="1" applyBorder="1"/>
    <xf numFmtId="165" fontId="5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3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38" xfId="0" applyFont="1" applyBorder="1"/>
    <xf numFmtId="0" fontId="2" fillId="0" borderId="29" xfId="0" applyFont="1" applyBorder="1"/>
    <xf numFmtId="0" fontId="2" fillId="0" borderId="3" xfId="0" applyFont="1" applyBorder="1"/>
    <xf numFmtId="0" fontId="0" fillId="0" borderId="34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9" xfId="0" applyNumberFormat="1" applyFont="1" applyBorder="1" applyAlignment="1">
      <alignment horizontal="left"/>
    </xf>
    <xf numFmtId="166" fontId="2" fillId="0" borderId="29" xfId="0" applyNumberFormat="1" applyFont="1" applyBorder="1"/>
    <xf numFmtId="167" fontId="5" fillId="0" borderId="0" xfId="0" applyNumberFormat="1" applyFont="1"/>
    <xf numFmtId="15" fontId="11" fillId="0" borderId="3" xfId="2" applyNumberFormat="1" applyFont="1" applyFill="1" applyBorder="1" applyAlignment="1">
      <alignment horizontal="center"/>
    </xf>
    <xf numFmtId="15" fontId="11" fillId="0" borderId="1" xfId="2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left"/>
    </xf>
    <xf numFmtId="15" fontId="11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5" fillId="0" borderId="1" xfId="0" applyFont="1" applyBorder="1" applyAlignment="1">
      <alignment horizontal="center"/>
    </xf>
    <xf numFmtId="0" fontId="0" fillId="0" borderId="34" xfId="0" applyBorder="1" applyAlignment="1">
      <alignment horizontal="left"/>
    </xf>
    <xf numFmtId="169" fontId="0" fillId="0" borderId="0" xfId="0" applyNumberFormat="1"/>
    <xf numFmtId="165" fontId="3" fillId="0" borderId="33" xfId="1" applyNumberFormat="1" applyFont="1" applyBorder="1"/>
    <xf numFmtId="0" fontId="1" fillId="0" borderId="0" xfId="0" applyFont="1"/>
    <xf numFmtId="0" fontId="0" fillId="0" borderId="16" xfId="0" applyBorder="1"/>
    <xf numFmtId="0" fontId="12" fillId="0" borderId="0" xfId="0" applyFont="1"/>
    <xf numFmtId="0" fontId="14" fillId="0" borderId="41" xfId="0" applyFont="1" applyBorder="1" applyAlignment="1">
      <alignment horizontal="center"/>
    </xf>
    <xf numFmtId="3" fontId="15" fillId="0" borderId="41" xfId="0" applyNumberFormat="1" applyFont="1" applyBorder="1" applyAlignment="1">
      <alignment horizontal="right"/>
    </xf>
    <xf numFmtId="3" fontId="14" fillId="0" borderId="41" xfId="0" applyNumberFormat="1" applyFont="1" applyBorder="1" applyAlignment="1">
      <alignment horizontal="right"/>
    </xf>
    <xf numFmtId="0" fontId="14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data'!$M$26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data'!$M$27:$M$46</c:f>
              <c:numCache>
                <c:formatCode>_ * #\ ##0_ ;_ * \-#\ ##0_ ;_ * "-"??_ ;_ @_ </c:formatCode>
                <c:ptCount val="20"/>
                <c:pt idx="3">
                  <c:v>59769</c:v>
                </c:pt>
                <c:pt idx="4">
                  <c:v>113093</c:v>
                </c:pt>
                <c:pt idx="5">
                  <c:v>178139</c:v>
                </c:pt>
                <c:pt idx="6">
                  <c:v>794609</c:v>
                </c:pt>
                <c:pt idx="9">
                  <c:v>50595</c:v>
                </c:pt>
                <c:pt idx="10">
                  <c:v>372431</c:v>
                </c:pt>
                <c:pt idx="13">
                  <c:v>25430</c:v>
                </c:pt>
                <c:pt idx="15">
                  <c:v>22014</c:v>
                </c:pt>
                <c:pt idx="16">
                  <c:v>40532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data'!$N$26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data'!$N$27:$N$46</c:f>
              <c:numCache>
                <c:formatCode>_ * #\ ##0_ ;_ * \-#\ ##0_ ;_ * "-"??_ ;_ @_ </c:formatCode>
                <c:ptCount val="20"/>
                <c:pt idx="3">
                  <c:v>28311</c:v>
                </c:pt>
                <c:pt idx="4">
                  <c:v>106521</c:v>
                </c:pt>
                <c:pt idx="5">
                  <c:v>355263</c:v>
                </c:pt>
                <c:pt idx="6">
                  <c:v>667838</c:v>
                </c:pt>
                <c:pt idx="8">
                  <c:v>58987</c:v>
                </c:pt>
                <c:pt idx="9">
                  <c:v>98192</c:v>
                </c:pt>
                <c:pt idx="10">
                  <c:v>273721</c:v>
                </c:pt>
                <c:pt idx="15">
                  <c:v>61005</c:v>
                </c:pt>
                <c:pt idx="16">
                  <c:v>43791</c:v>
                </c:pt>
                <c:pt idx="17">
                  <c:v>91483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data'!$O$26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data'!$O$27:$O$46</c:f>
              <c:numCache>
                <c:formatCode>_ * #\ ##0_ ;_ * \-#\ ##0_ ;_ * "-"??_ ;_ @_ </c:formatCode>
                <c:ptCount val="20"/>
                <c:pt idx="3">
                  <c:v>177907</c:v>
                </c:pt>
                <c:pt idx="4">
                  <c:v>102816</c:v>
                </c:pt>
                <c:pt idx="5">
                  <c:v>283451</c:v>
                </c:pt>
                <c:pt idx="6">
                  <c:v>931344</c:v>
                </c:pt>
                <c:pt idx="8">
                  <c:v>49516</c:v>
                </c:pt>
                <c:pt idx="9">
                  <c:v>38445</c:v>
                </c:pt>
                <c:pt idx="10">
                  <c:v>109350</c:v>
                </c:pt>
                <c:pt idx="16">
                  <c:v>151014</c:v>
                </c:pt>
                <c:pt idx="17">
                  <c:v>185036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data'!$P$26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data'!$P$27:$P$46</c:f>
              <c:numCache>
                <c:formatCode>_ * #\ ##0_ ;_ * \-#\ ##0_ ;_ * "-"??_ ;_ @_ </c:formatCode>
                <c:ptCount val="20"/>
                <c:pt idx="3">
                  <c:v>60941</c:v>
                </c:pt>
                <c:pt idx="4">
                  <c:v>27841</c:v>
                </c:pt>
                <c:pt idx="5">
                  <c:v>237464</c:v>
                </c:pt>
                <c:pt idx="6">
                  <c:v>182961</c:v>
                </c:pt>
                <c:pt idx="8">
                  <c:v>35613</c:v>
                </c:pt>
                <c:pt idx="9">
                  <c:v>24679</c:v>
                </c:pt>
                <c:pt idx="10">
                  <c:v>10896</c:v>
                </c:pt>
                <c:pt idx="15">
                  <c:v>16905</c:v>
                </c:pt>
                <c:pt idx="17">
                  <c:v>76905</c:v>
                </c:pt>
                <c:pt idx="18">
                  <c:v>144246</c:v>
                </c:pt>
                <c:pt idx="19">
                  <c:v>112277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data'!$Q$26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data'!$Q$27:$Q$46</c:f>
              <c:numCache>
                <c:formatCode>_ * #\ ##0_ ;_ * \-#\ ##0_ ;_ * "-"??_ ;_ @_ </c:formatCode>
                <c:ptCount val="20"/>
                <c:pt idx="3">
                  <c:v>87032</c:v>
                </c:pt>
                <c:pt idx="4">
                  <c:v>90694</c:v>
                </c:pt>
                <c:pt idx="5">
                  <c:v>282312</c:v>
                </c:pt>
                <c:pt idx="6">
                  <c:v>957782</c:v>
                </c:pt>
                <c:pt idx="8">
                  <c:v>132433</c:v>
                </c:pt>
                <c:pt idx="10">
                  <c:v>135669</c:v>
                </c:pt>
                <c:pt idx="15">
                  <c:v>140007</c:v>
                </c:pt>
                <c:pt idx="16">
                  <c:v>184436</c:v>
                </c:pt>
                <c:pt idx="17">
                  <c:v>17514</c:v>
                </c:pt>
                <c:pt idx="18">
                  <c:v>47904</c:v>
                </c:pt>
                <c:pt idx="19">
                  <c:v>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data'!$R$26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data'!$R$27:$R$46</c:f>
              <c:numCache>
                <c:formatCode>_ * #\ ##0_ ;_ * \-#\ ##0_ ;_ * "-"??_ ;_ @_ </c:formatCode>
                <c:ptCount val="20"/>
                <c:pt idx="3">
                  <c:v>140127</c:v>
                </c:pt>
                <c:pt idx="4">
                  <c:v>85348</c:v>
                </c:pt>
                <c:pt idx="5">
                  <c:v>345177</c:v>
                </c:pt>
                <c:pt idx="6">
                  <c:v>401524</c:v>
                </c:pt>
                <c:pt idx="8">
                  <c:v>35519</c:v>
                </c:pt>
                <c:pt idx="10">
                  <c:v>49879</c:v>
                </c:pt>
                <c:pt idx="15">
                  <c:v>39290</c:v>
                </c:pt>
                <c:pt idx="16">
                  <c:v>124133</c:v>
                </c:pt>
                <c:pt idx="17">
                  <c:v>24998</c:v>
                </c:pt>
                <c:pt idx="18">
                  <c:v>110636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data'!$S$26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data'!$S$27:$S$46</c:f>
              <c:numCache>
                <c:formatCode>_ * #\ ##0_ ;_ * \-#\ ##0_ ;_ * "-"??_ ;_ @_ </c:formatCode>
                <c:ptCount val="20"/>
                <c:pt idx="3">
                  <c:v>58091</c:v>
                </c:pt>
                <c:pt idx="4">
                  <c:v>51000</c:v>
                </c:pt>
                <c:pt idx="5">
                  <c:v>274545</c:v>
                </c:pt>
                <c:pt idx="6">
                  <c:v>522321</c:v>
                </c:pt>
                <c:pt idx="10">
                  <c:v>83906</c:v>
                </c:pt>
                <c:pt idx="13">
                  <c:v>21860</c:v>
                </c:pt>
                <c:pt idx="15">
                  <c:v>54803</c:v>
                </c:pt>
                <c:pt idx="16">
                  <c:v>202656</c:v>
                </c:pt>
                <c:pt idx="17">
                  <c:v>543334</c:v>
                </c:pt>
                <c:pt idx="18">
                  <c:v>52365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data'!$T$26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data'!$T$27:$T$46</c:f>
              <c:numCache>
                <c:formatCode>_ * #\ ##0_ ;_ * \-#\ ##0_ ;_ * "-"??_ ;_ @_ </c:formatCode>
                <c:ptCount val="20"/>
                <c:pt idx="3">
                  <c:v>34874</c:v>
                </c:pt>
                <c:pt idx="4">
                  <c:v>136463</c:v>
                </c:pt>
                <c:pt idx="5">
                  <c:v>51461</c:v>
                </c:pt>
                <c:pt idx="6">
                  <c:v>204913</c:v>
                </c:pt>
                <c:pt idx="9">
                  <c:v>458600</c:v>
                </c:pt>
                <c:pt idx="10">
                  <c:v>7341</c:v>
                </c:pt>
                <c:pt idx="15">
                  <c:v>80712</c:v>
                </c:pt>
                <c:pt idx="16">
                  <c:v>269429</c:v>
                </c:pt>
                <c:pt idx="17">
                  <c:v>223044</c:v>
                </c:pt>
                <c:pt idx="18">
                  <c:v>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data'!$U$26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data'!$U$27:$U$46</c:f>
              <c:numCache>
                <c:formatCode>_ * #\ ##0_ ;_ * \-#\ ##0_ ;_ * "-"??_ ;_ @_ </c:formatCode>
                <c:ptCount val="20"/>
                <c:pt idx="3">
                  <c:v>32333</c:v>
                </c:pt>
                <c:pt idx="8">
                  <c:v>298838</c:v>
                </c:pt>
                <c:pt idx="9">
                  <c:v>315233</c:v>
                </c:pt>
                <c:pt idx="11">
                  <c:v>242639</c:v>
                </c:pt>
                <c:pt idx="15">
                  <c:v>47391</c:v>
                </c:pt>
                <c:pt idx="16">
                  <c:v>284143</c:v>
                </c:pt>
                <c:pt idx="17">
                  <c:v>180181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data'!$V$26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data'!$V$27:$V$46</c:f>
              <c:numCache>
                <c:formatCode>_ * #\ ##0_ ;_ * \-#\ ##0_ ;_ * "-"??_ ;_ @_ </c:formatCode>
                <c:ptCount val="20"/>
                <c:pt idx="3">
                  <c:v>18547</c:v>
                </c:pt>
                <c:pt idx="5">
                  <c:v>117449</c:v>
                </c:pt>
                <c:pt idx="6">
                  <c:v>264681</c:v>
                </c:pt>
                <c:pt idx="8">
                  <c:v>33719</c:v>
                </c:pt>
                <c:pt idx="9">
                  <c:v>262098</c:v>
                </c:pt>
                <c:pt idx="11">
                  <c:v>135833</c:v>
                </c:pt>
                <c:pt idx="15">
                  <c:v>76832</c:v>
                </c:pt>
                <c:pt idx="16">
                  <c:v>232901</c:v>
                </c:pt>
                <c:pt idx="17">
                  <c:v>516446</c:v>
                </c:pt>
                <c:pt idx="18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data'!$W$26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data'!$W$27:$W$46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542734</c:v>
                </c:pt>
                <c:pt idx="8">
                  <c:v>3899</c:v>
                </c:pt>
                <c:pt idx="9">
                  <c:v>392936</c:v>
                </c:pt>
                <c:pt idx="15">
                  <c:v>137608</c:v>
                </c:pt>
                <c:pt idx="16">
                  <c:v>384475</c:v>
                </c:pt>
                <c:pt idx="17">
                  <c:v>374147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ser>
          <c:idx val="10"/>
          <c:order val="11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invertIfNegative val="0"/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54105</c:v>
                </c:pt>
                <c:pt idx="6">
                  <c:v>256514</c:v>
                </c:pt>
                <c:pt idx="15">
                  <c:v>31025</c:v>
                </c:pt>
                <c:pt idx="16">
                  <c:v>65672</c:v>
                </c:pt>
                <c:pt idx="17">
                  <c:v>42568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4-40D4-B838-A8440ACB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- 2024/2025 (ton) </a:t>
            </a:r>
          </a:p>
        </c:rich>
      </c:tx>
      <c:layout>
        <c:manualLayout>
          <c:xMode val="edge"/>
          <c:yMode val="edge"/>
          <c:x val="0.2445851793254224"/>
          <c:y val="1.363658114164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0.10154416403058826"/>
                  <c:y val="5.072309711286086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19239828031205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6.3207869019720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29364654660882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005084776187372E-2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8174560704183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6.2976928623155889E-2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6393897364771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2.8751114848508001E-2"/>
                  <c:y val="2.5744736453397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2702611202727"/>
                      <c:h val="0.1159595959595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54105</c:v>
                </c:pt>
                <c:pt idx="6">
                  <c:v>256514</c:v>
                </c:pt>
                <c:pt idx="15">
                  <c:v>31025</c:v>
                </c:pt>
                <c:pt idx="16">
                  <c:v>65672</c:v>
                </c:pt>
                <c:pt idx="17">
                  <c:v>42568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- 2024_25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data'!$X$54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7.1197156306486403E-2"/>
                  <c:y val="-2.5732951286066098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3.5382586819480095E-2"/>
                  <c:y val="7.248153073782657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5"/>
              <c:layout>
                <c:manualLayout>
                  <c:x val="-5.1826260651928913E-2"/>
                  <c:y val="-9.23076978987097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dLbl>
              <c:idx val="12"/>
              <c:layout>
                <c:manualLayout>
                  <c:x val="-1.554783047009878E-2"/>
                  <c:y val="-2.7692233667244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5811342150909"/>
                      <c:h val="5.91923112775476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data'!$A$55:$A$67</c:f>
              <c:strCache>
                <c:ptCount val="13"/>
                <c:pt idx="0">
                  <c:v>Congo</c:v>
                </c:pt>
                <c:pt idx="1">
                  <c:v>Eswatini</c:v>
                </c:pt>
                <c:pt idx="2">
                  <c:v>Namibia</c:v>
                </c:pt>
                <c:pt idx="3">
                  <c:v>Zimbabwe</c:v>
                </c:pt>
                <c:pt idx="4">
                  <c:v>Lesotho</c:v>
                </c:pt>
                <c:pt idx="5">
                  <c:v>Botswana</c:v>
                </c:pt>
                <c:pt idx="6">
                  <c:v>Angola</c:v>
                </c:pt>
                <c:pt idx="7">
                  <c:v>Guinea</c:v>
                </c:pt>
                <c:pt idx="8">
                  <c:v>Malawi</c:v>
                </c:pt>
                <c:pt idx="9">
                  <c:v>Mauritius</c:v>
                </c:pt>
                <c:pt idx="10">
                  <c:v>Mosambiek</c:v>
                </c:pt>
                <c:pt idx="11">
                  <c:v>Russia</c:v>
                </c:pt>
                <c:pt idx="12">
                  <c:v>Zambia</c:v>
                </c:pt>
              </c:strCache>
            </c:strRef>
          </c:cat>
          <c:val>
            <c:numRef>
              <c:f>'Land-Country data'!$X$55:$X$68</c:f>
              <c:numCache>
                <c:formatCode>_ * #\ ##0_ ;_ * \-#\ ##0_ ;_ * "-"??_ ;_ @_ </c:formatCode>
                <c:ptCount val="14"/>
                <c:pt idx="2">
                  <c:v>2359</c:v>
                </c:pt>
                <c:pt idx="3">
                  <c:v>8591</c:v>
                </c:pt>
                <c:pt idx="4">
                  <c:v>5791</c:v>
                </c:pt>
                <c:pt idx="5">
                  <c:v>2503</c:v>
                </c:pt>
                <c:pt idx="12">
                  <c:v>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620000" cy="47601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867525" cy="44005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858000" cy="43942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2.75" x14ac:dyDescent="0.2"/>
  <cols>
    <col min="1" max="1" width="5.85546875" style="14" bestFit="1" customWidth="1"/>
    <col min="2" max="2" width="10.42578125" customWidth="1"/>
    <col min="3" max="3" width="12.5703125" customWidth="1"/>
    <col min="4" max="4" width="17.42578125" customWidth="1"/>
    <col min="5" max="5" width="12.140625" customWidth="1"/>
    <col min="6" max="6" width="17.7109375" customWidth="1"/>
    <col min="7" max="7" width="9.5703125" customWidth="1"/>
    <col min="8" max="8" width="17.42578125" customWidth="1"/>
  </cols>
  <sheetData>
    <row r="1" spans="1:8" x14ac:dyDescent="0.2">
      <c r="C1" s="4" t="s">
        <v>88</v>
      </c>
    </row>
    <row r="2" spans="1:8" x14ac:dyDescent="0.2">
      <c r="C2" s="4" t="s">
        <v>89</v>
      </c>
    </row>
    <row r="3" spans="1:8" x14ac:dyDescent="0.2">
      <c r="C3" s="4"/>
    </row>
    <row r="4" spans="1:8" x14ac:dyDescent="0.2">
      <c r="B4" s="12" t="s">
        <v>82</v>
      </c>
      <c r="C4" s="4"/>
      <c r="D4" s="99">
        <f>B61</f>
        <v>43371</v>
      </c>
    </row>
    <row r="5" spans="1:8" x14ac:dyDescent="0.2">
      <c r="C5" s="4"/>
    </row>
    <row r="6" spans="1:8" ht="13.5" thickBot="1" x14ac:dyDescent="0.25"/>
    <row r="7" spans="1:8" x14ac:dyDescent="0.2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5" thickBot="1" x14ac:dyDescent="0.25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5" x14ac:dyDescent="0.25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5" x14ac:dyDescent="0.25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5" x14ac:dyDescent="0.25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5" x14ac:dyDescent="0.25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5" x14ac:dyDescent="0.25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5" x14ac:dyDescent="0.25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5" x14ac:dyDescent="0.25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5" x14ac:dyDescent="0.25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5" x14ac:dyDescent="0.25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5" x14ac:dyDescent="0.25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5" x14ac:dyDescent="0.25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5" x14ac:dyDescent="0.25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5" x14ac:dyDescent="0.25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5" x14ac:dyDescent="0.25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5" x14ac:dyDescent="0.25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5" x14ac:dyDescent="0.25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5" x14ac:dyDescent="0.25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5" x14ac:dyDescent="0.25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5" x14ac:dyDescent="0.25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5" x14ac:dyDescent="0.25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5" x14ac:dyDescent="0.25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5" x14ac:dyDescent="0.25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5" x14ac:dyDescent="0.25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5" x14ac:dyDescent="0.25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5" x14ac:dyDescent="0.25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5" x14ac:dyDescent="0.25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5" x14ac:dyDescent="0.25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5" x14ac:dyDescent="0.25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5" x14ac:dyDescent="0.25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5" x14ac:dyDescent="0.25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5" x14ac:dyDescent="0.25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5" x14ac:dyDescent="0.25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5" x14ac:dyDescent="0.25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5" x14ac:dyDescent="0.25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5" x14ac:dyDescent="0.25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5" x14ac:dyDescent="0.25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5" x14ac:dyDescent="0.25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5" x14ac:dyDescent="0.25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5" x14ac:dyDescent="0.25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5" x14ac:dyDescent="0.25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5" x14ac:dyDescent="0.25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5" x14ac:dyDescent="0.25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5" x14ac:dyDescent="0.25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5" x14ac:dyDescent="0.25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5" x14ac:dyDescent="0.25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5" x14ac:dyDescent="0.25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5" x14ac:dyDescent="0.25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5" x14ac:dyDescent="0.25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5" x14ac:dyDescent="0.25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5" x14ac:dyDescent="0.25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5" x14ac:dyDescent="0.25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.75" thickBot="1" x14ac:dyDescent="0.3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">
      <c r="B62" s="7"/>
      <c r="D62" s="3"/>
    </row>
    <row r="63" spans="1:8" x14ac:dyDescent="0.2">
      <c r="B63" s="7"/>
    </row>
    <row r="64" spans="1:8" x14ac:dyDescent="0.2">
      <c r="B64" s="7"/>
    </row>
    <row r="65" spans="2:3" x14ac:dyDescent="0.2">
      <c r="B65" s="7"/>
    </row>
    <row r="66" spans="2:3" x14ac:dyDescent="0.2">
      <c r="B66" s="7"/>
      <c r="C66" s="5"/>
    </row>
    <row r="67" spans="2:3" x14ac:dyDescent="0.2">
      <c r="B67" s="7"/>
      <c r="C67" s="5"/>
    </row>
    <row r="68" spans="2:3" x14ac:dyDescent="0.2">
      <c r="B68" s="7"/>
    </row>
    <row r="69" spans="2:3" x14ac:dyDescent="0.2">
      <c r="B69" s="7"/>
    </row>
    <row r="70" spans="2:3" x14ac:dyDescent="0.2">
      <c r="B70" s="7"/>
    </row>
    <row r="71" spans="2:3" x14ac:dyDescent="0.2">
      <c r="B71" s="7"/>
    </row>
    <row r="72" spans="2:3" x14ac:dyDescent="0.2">
      <c r="B72" s="7"/>
    </row>
    <row r="73" spans="2:3" x14ac:dyDescent="0.2">
      <c r="B73" s="7"/>
    </row>
    <row r="74" spans="2:3" x14ac:dyDescent="0.2">
      <c r="B74" s="7"/>
    </row>
    <row r="75" spans="2:3" x14ac:dyDescent="0.2">
      <c r="B75" s="7"/>
    </row>
    <row r="76" spans="2:3" x14ac:dyDescent="0.2">
      <c r="B76" s="7"/>
    </row>
    <row r="77" spans="2:3" x14ac:dyDescent="0.2">
      <c r="B77" s="7"/>
    </row>
    <row r="78" spans="2:3" x14ac:dyDescent="0.2">
      <c r="B78" s="7"/>
    </row>
    <row r="79" spans="2:3" x14ac:dyDescent="0.2">
      <c r="B79" s="7"/>
    </row>
    <row r="80" spans="2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2:2" x14ac:dyDescent="0.2">
      <c r="B513" s="7"/>
    </row>
    <row r="514" spans="2:2" x14ac:dyDescent="0.2">
      <c r="B514" s="7"/>
    </row>
    <row r="515" spans="2:2" x14ac:dyDescent="0.2">
      <c r="B515" s="7"/>
    </row>
    <row r="516" spans="2:2" x14ac:dyDescent="0.2">
      <c r="B516" s="7"/>
    </row>
    <row r="517" spans="2:2" x14ac:dyDescent="0.2">
      <c r="B517" s="7"/>
    </row>
    <row r="518" spans="2:2" x14ac:dyDescent="0.2">
      <c r="B518" s="7"/>
    </row>
    <row r="519" spans="2:2" x14ac:dyDescent="0.2">
      <c r="B519" s="7"/>
    </row>
    <row r="520" spans="2:2" x14ac:dyDescent="0.2">
      <c r="B520" s="7"/>
    </row>
    <row r="521" spans="2:2" x14ac:dyDescent="0.2">
      <c r="B521" s="7"/>
    </row>
    <row r="522" spans="2:2" x14ac:dyDescent="0.2">
      <c r="B522" s="7"/>
    </row>
    <row r="523" spans="2:2" x14ac:dyDescent="0.2">
      <c r="B523" s="7"/>
    </row>
    <row r="524" spans="2:2" x14ac:dyDescent="0.2">
      <c r="B524" s="7"/>
    </row>
    <row r="525" spans="2:2" x14ac:dyDescent="0.2">
      <c r="B525" s="7"/>
    </row>
    <row r="526" spans="2:2" x14ac:dyDescent="0.2">
      <c r="B526" s="7"/>
    </row>
    <row r="527" spans="2:2" x14ac:dyDescent="0.2">
      <c r="B527" s="7"/>
    </row>
    <row r="528" spans="2:2" x14ac:dyDescent="0.2">
      <c r="B528" s="7"/>
    </row>
    <row r="529" spans="2:2" x14ac:dyDescent="0.2">
      <c r="B529" s="7"/>
    </row>
    <row r="530" spans="2:2" x14ac:dyDescent="0.2">
      <c r="B530" s="7"/>
    </row>
    <row r="531" spans="2:2" x14ac:dyDescent="0.2">
      <c r="B531" s="7"/>
    </row>
    <row r="532" spans="2:2" x14ac:dyDescent="0.2">
      <c r="B532" s="7"/>
    </row>
    <row r="533" spans="2:2" x14ac:dyDescent="0.2">
      <c r="B533" s="7"/>
    </row>
    <row r="534" spans="2:2" x14ac:dyDescent="0.2">
      <c r="B534" s="7"/>
    </row>
    <row r="535" spans="2:2" x14ac:dyDescent="0.2">
      <c r="B535" s="7"/>
    </row>
    <row r="536" spans="2:2" x14ac:dyDescent="0.2">
      <c r="B536" s="7"/>
    </row>
    <row r="537" spans="2:2" x14ac:dyDescent="0.2">
      <c r="B537" s="7"/>
    </row>
    <row r="538" spans="2:2" x14ac:dyDescent="0.2">
      <c r="B538" s="7"/>
    </row>
    <row r="539" spans="2:2" x14ac:dyDescent="0.2">
      <c r="B539" s="7"/>
    </row>
    <row r="540" spans="2:2" x14ac:dyDescent="0.2">
      <c r="B540" s="7"/>
    </row>
    <row r="541" spans="2:2" x14ac:dyDescent="0.2">
      <c r="B541" s="7"/>
    </row>
    <row r="542" spans="2:2" x14ac:dyDescent="0.2">
      <c r="B542" s="7"/>
    </row>
    <row r="543" spans="2:2" x14ac:dyDescent="0.2">
      <c r="B543" s="7"/>
    </row>
    <row r="544" spans="2:2" x14ac:dyDescent="0.2">
      <c r="B544" s="7"/>
    </row>
    <row r="545" spans="2:2" x14ac:dyDescent="0.2">
      <c r="B545" s="7"/>
    </row>
    <row r="546" spans="2:2" x14ac:dyDescent="0.2">
      <c r="B546" s="7"/>
    </row>
    <row r="547" spans="2:2" x14ac:dyDescent="0.2">
      <c r="B547" s="7"/>
    </row>
    <row r="548" spans="2:2" x14ac:dyDescent="0.2">
      <c r="B548" s="7"/>
    </row>
    <row r="549" spans="2:2" x14ac:dyDescent="0.2">
      <c r="B549" s="7"/>
    </row>
    <row r="550" spans="2:2" x14ac:dyDescent="0.2">
      <c r="B550" s="7"/>
    </row>
    <row r="551" spans="2:2" x14ac:dyDescent="0.2">
      <c r="B551" s="7"/>
    </row>
    <row r="552" spans="2:2" x14ac:dyDescent="0.2">
      <c r="B552" s="7"/>
    </row>
    <row r="553" spans="2:2" x14ac:dyDescent="0.2">
      <c r="B553" s="7"/>
    </row>
    <row r="554" spans="2:2" x14ac:dyDescent="0.2">
      <c r="B554" s="7"/>
    </row>
    <row r="555" spans="2:2" x14ac:dyDescent="0.2">
      <c r="B555" s="7"/>
    </row>
    <row r="556" spans="2:2" x14ac:dyDescent="0.2">
      <c r="B556" s="7"/>
    </row>
    <row r="557" spans="2:2" x14ac:dyDescent="0.2">
      <c r="B557" s="7"/>
    </row>
    <row r="558" spans="2:2" x14ac:dyDescent="0.2">
      <c r="B558" s="7"/>
    </row>
    <row r="559" spans="2:2" x14ac:dyDescent="0.2">
      <c r="B559" s="7"/>
    </row>
    <row r="560" spans="2:2" x14ac:dyDescent="0.2">
      <c r="B560" s="7"/>
    </row>
    <row r="561" spans="2:2" x14ac:dyDescent="0.2">
      <c r="B561" s="7"/>
    </row>
    <row r="562" spans="2:2" x14ac:dyDescent="0.2">
      <c r="B562" s="7"/>
    </row>
    <row r="563" spans="2:2" x14ac:dyDescent="0.2">
      <c r="B563" s="7"/>
    </row>
    <row r="564" spans="2:2" x14ac:dyDescent="0.2">
      <c r="B564" s="7"/>
    </row>
    <row r="565" spans="2:2" x14ac:dyDescent="0.2">
      <c r="B565" s="7"/>
    </row>
    <row r="566" spans="2:2" x14ac:dyDescent="0.2">
      <c r="B566" s="7"/>
    </row>
    <row r="567" spans="2:2" x14ac:dyDescent="0.2">
      <c r="B567" s="7"/>
    </row>
    <row r="568" spans="2:2" x14ac:dyDescent="0.2">
      <c r="B568" s="7"/>
    </row>
    <row r="569" spans="2:2" x14ac:dyDescent="0.2">
      <c r="B569" s="7"/>
    </row>
    <row r="570" spans="2:2" x14ac:dyDescent="0.2">
      <c r="B570" s="7"/>
    </row>
    <row r="571" spans="2:2" x14ac:dyDescent="0.2">
      <c r="B571" s="7"/>
    </row>
    <row r="572" spans="2:2" x14ac:dyDescent="0.2">
      <c r="B572" s="7"/>
    </row>
    <row r="573" spans="2:2" x14ac:dyDescent="0.2">
      <c r="B573" s="7"/>
    </row>
    <row r="574" spans="2:2" x14ac:dyDescent="0.2">
      <c r="B574" s="7"/>
    </row>
    <row r="575" spans="2:2" x14ac:dyDescent="0.2">
      <c r="B575" s="7"/>
    </row>
    <row r="576" spans="2:2" x14ac:dyDescent="0.2">
      <c r="B576" s="7"/>
    </row>
    <row r="577" spans="2:2" x14ac:dyDescent="0.2">
      <c r="B577" s="7"/>
    </row>
    <row r="578" spans="2:2" x14ac:dyDescent="0.2">
      <c r="B578" s="7"/>
    </row>
    <row r="579" spans="2:2" x14ac:dyDescent="0.2">
      <c r="B579" s="7"/>
    </row>
    <row r="580" spans="2:2" x14ac:dyDescent="0.2">
      <c r="B580" s="7"/>
    </row>
    <row r="581" spans="2:2" x14ac:dyDescent="0.2">
      <c r="B581" s="7"/>
    </row>
    <row r="582" spans="2:2" x14ac:dyDescent="0.2">
      <c r="B582" s="7"/>
    </row>
    <row r="583" spans="2:2" x14ac:dyDescent="0.2">
      <c r="B583" s="7"/>
    </row>
    <row r="584" spans="2:2" x14ac:dyDescent="0.2">
      <c r="B584" s="7"/>
    </row>
    <row r="585" spans="2:2" x14ac:dyDescent="0.2">
      <c r="B585" s="7"/>
    </row>
    <row r="586" spans="2:2" x14ac:dyDescent="0.2">
      <c r="B586" s="7"/>
    </row>
    <row r="587" spans="2:2" x14ac:dyDescent="0.2">
      <c r="B587" s="7"/>
    </row>
    <row r="588" spans="2:2" x14ac:dyDescent="0.2">
      <c r="B588" s="7"/>
    </row>
    <row r="589" spans="2:2" x14ac:dyDescent="0.2">
      <c r="B589" s="7"/>
    </row>
    <row r="590" spans="2:2" x14ac:dyDescent="0.2">
      <c r="B590" s="7"/>
    </row>
    <row r="591" spans="2:2" x14ac:dyDescent="0.2">
      <c r="B591" s="7"/>
    </row>
    <row r="592" spans="2:2" x14ac:dyDescent="0.2">
      <c r="B592" s="7"/>
    </row>
    <row r="593" spans="2:2" x14ac:dyDescent="0.2">
      <c r="B593" s="7"/>
    </row>
    <row r="594" spans="2:2" x14ac:dyDescent="0.2">
      <c r="B594" s="7"/>
    </row>
    <row r="595" spans="2:2" x14ac:dyDescent="0.2">
      <c r="B595" s="7"/>
    </row>
    <row r="596" spans="2:2" x14ac:dyDescent="0.2">
      <c r="B596" s="7"/>
    </row>
    <row r="597" spans="2:2" x14ac:dyDescent="0.2">
      <c r="B597" s="7"/>
    </row>
    <row r="598" spans="2:2" x14ac:dyDescent="0.2">
      <c r="B598" s="7"/>
    </row>
    <row r="599" spans="2:2" x14ac:dyDescent="0.2">
      <c r="B599" s="7"/>
    </row>
    <row r="600" spans="2:2" x14ac:dyDescent="0.2">
      <c r="B600" s="7"/>
    </row>
    <row r="601" spans="2:2" x14ac:dyDescent="0.2">
      <c r="B601" s="7"/>
    </row>
    <row r="602" spans="2:2" x14ac:dyDescent="0.2">
      <c r="B602" s="7"/>
    </row>
    <row r="603" spans="2:2" x14ac:dyDescent="0.2">
      <c r="B603" s="7"/>
    </row>
    <row r="604" spans="2:2" x14ac:dyDescent="0.2">
      <c r="B604" s="7"/>
    </row>
    <row r="605" spans="2:2" x14ac:dyDescent="0.2">
      <c r="B605" s="7"/>
    </row>
    <row r="606" spans="2:2" x14ac:dyDescent="0.2">
      <c r="B606" s="7"/>
    </row>
    <row r="607" spans="2:2" x14ac:dyDescent="0.2">
      <c r="B607" s="7"/>
    </row>
    <row r="608" spans="2:2" x14ac:dyDescent="0.2">
      <c r="B608" s="7"/>
    </row>
    <row r="609" spans="2:2" x14ac:dyDescent="0.2">
      <c r="B609" s="7"/>
    </row>
    <row r="610" spans="2:2" x14ac:dyDescent="0.2">
      <c r="B610" s="7"/>
    </row>
    <row r="611" spans="2:2" x14ac:dyDescent="0.2">
      <c r="B611" s="7"/>
    </row>
    <row r="612" spans="2:2" x14ac:dyDescent="0.2">
      <c r="B612" s="7"/>
    </row>
    <row r="613" spans="2:2" x14ac:dyDescent="0.2">
      <c r="B613" s="7"/>
    </row>
    <row r="614" spans="2:2" x14ac:dyDescent="0.2">
      <c r="B614" s="7"/>
    </row>
    <row r="615" spans="2:2" x14ac:dyDescent="0.2">
      <c r="B615" s="7"/>
    </row>
    <row r="616" spans="2:2" x14ac:dyDescent="0.2">
      <c r="B616" s="7"/>
    </row>
    <row r="617" spans="2:2" x14ac:dyDescent="0.2">
      <c r="B617" s="7"/>
    </row>
    <row r="618" spans="2:2" x14ac:dyDescent="0.2">
      <c r="B618" s="7"/>
    </row>
    <row r="619" spans="2:2" x14ac:dyDescent="0.2">
      <c r="B619" s="7"/>
    </row>
    <row r="620" spans="2:2" x14ac:dyDescent="0.2">
      <c r="B620" s="7"/>
    </row>
    <row r="621" spans="2:2" x14ac:dyDescent="0.2">
      <c r="B621" s="7"/>
    </row>
    <row r="622" spans="2:2" x14ac:dyDescent="0.2">
      <c r="B622" s="7"/>
    </row>
    <row r="623" spans="2:2" x14ac:dyDescent="0.2">
      <c r="B623" s="7"/>
    </row>
    <row r="624" spans="2:2" x14ac:dyDescent="0.2">
      <c r="B624" s="7"/>
    </row>
    <row r="625" spans="2:2" x14ac:dyDescent="0.2">
      <c r="B625" s="7"/>
    </row>
    <row r="626" spans="2:2" x14ac:dyDescent="0.2">
      <c r="B626" s="7"/>
    </row>
    <row r="627" spans="2:2" x14ac:dyDescent="0.2">
      <c r="B627" s="7"/>
    </row>
    <row r="628" spans="2:2" x14ac:dyDescent="0.2">
      <c r="B628" s="7"/>
    </row>
    <row r="629" spans="2:2" x14ac:dyDescent="0.2">
      <c r="B629" s="7"/>
    </row>
    <row r="630" spans="2:2" x14ac:dyDescent="0.2">
      <c r="B630" s="7"/>
    </row>
    <row r="631" spans="2:2" x14ac:dyDescent="0.2">
      <c r="B631" s="7"/>
    </row>
    <row r="632" spans="2:2" x14ac:dyDescent="0.2">
      <c r="B632" s="7"/>
    </row>
    <row r="633" spans="2:2" x14ac:dyDescent="0.2">
      <c r="B633" s="7"/>
    </row>
    <row r="634" spans="2:2" x14ac:dyDescent="0.2">
      <c r="B634" s="7"/>
    </row>
    <row r="635" spans="2:2" x14ac:dyDescent="0.2">
      <c r="B635" s="7"/>
    </row>
    <row r="636" spans="2:2" x14ac:dyDescent="0.2">
      <c r="B636" s="7"/>
    </row>
    <row r="637" spans="2:2" x14ac:dyDescent="0.2">
      <c r="B637" s="7"/>
    </row>
    <row r="638" spans="2:2" x14ac:dyDescent="0.2">
      <c r="B638" s="7"/>
    </row>
    <row r="639" spans="2:2" x14ac:dyDescent="0.2">
      <c r="B639" s="7"/>
    </row>
    <row r="640" spans="2:2" x14ac:dyDescent="0.2">
      <c r="B640" s="7"/>
    </row>
    <row r="641" spans="2:2" x14ac:dyDescent="0.2">
      <c r="B641" s="7"/>
    </row>
    <row r="642" spans="2:2" x14ac:dyDescent="0.2">
      <c r="B642" s="7"/>
    </row>
    <row r="643" spans="2:2" x14ac:dyDescent="0.2">
      <c r="B643" s="7"/>
    </row>
    <row r="644" spans="2:2" x14ac:dyDescent="0.2">
      <c r="B644" s="7"/>
    </row>
    <row r="645" spans="2:2" x14ac:dyDescent="0.2">
      <c r="B645" s="7"/>
    </row>
    <row r="646" spans="2:2" x14ac:dyDescent="0.2">
      <c r="B646" s="7"/>
    </row>
    <row r="647" spans="2:2" x14ac:dyDescent="0.2">
      <c r="B647" s="7"/>
    </row>
    <row r="648" spans="2:2" x14ac:dyDescent="0.2">
      <c r="B648" s="7"/>
    </row>
    <row r="649" spans="2:2" x14ac:dyDescent="0.2">
      <c r="B649" s="7"/>
    </row>
    <row r="650" spans="2:2" x14ac:dyDescent="0.2">
      <c r="B650" s="7"/>
    </row>
    <row r="651" spans="2:2" x14ac:dyDescent="0.2">
      <c r="B651" s="7"/>
    </row>
    <row r="652" spans="2:2" x14ac:dyDescent="0.2">
      <c r="B652" s="7"/>
    </row>
    <row r="653" spans="2:2" x14ac:dyDescent="0.2">
      <c r="B653" s="7"/>
    </row>
    <row r="654" spans="2:2" x14ac:dyDescent="0.2">
      <c r="B654" s="7"/>
    </row>
    <row r="655" spans="2:2" x14ac:dyDescent="0.2">
      <c r="B655" s="7"/>
    </row>
    <row r="656" spans="2:2" x14ac:dyDescent="0.2">
      <c r="B656" s="7"/>
    </row>
    <row r="657" spans="2:2" x14ac:dyDescent="0.2">
      <c r="B657" s="7"/>
    </row>
    <row r="658" spans="2:2" x14ac:dyDescent="0.2">
      <c r="B658" s="7"/>
    </row>
    <row r="659" spans="2:2" x14ac:dyDescent="0.2">
      <c r="B659" s="7"/>
    </row>
    <row r="660" spans="2:2" x14ac:dyDescent="0.2">
      <c r="B660" s="7"/>
    </row>
    <row r="661" spans="2:2" x14ac:dyDescent="0.2">
      <c r="B661" s="7"/>
    </row>
    <row r="662" spans="2:2" x14ac:dyDescent="0.2">
      <c r="B662" s="7"/>
    </row>
    <row r="663" spans="2:2" x14ac:dyDescent="0.2">
      <c r="B663" s="7"/>
    </row>
    <row r="664" spans="2:2" x14ac:dyDescent="0.2">
      <c r="B664" s="7"/>
    </row>
    <row r="665" spans="2:2" x14ac:dyDescent="0.2">
      <c r="B665" s="7"/>
    </row>
    <row r="666" spans="2:2" x14ac:dyDescent="0.2">
      <c r="B666" s="7"/>
    </row>
    <row r="667" spans="2:2" x14ac:dyDescent="0.2">
      <c r="B667" s="7"/>
    </row>
    <row r="668" spans="2:2" x14ac:dyDescent="0.2">
      <c r="B668" s="7"/>
    </row>
    <row r="669" spans="2:2" x14ac:dyDescent="0.2">
      <c r="B669" s="7"/>
    </row>
    <row r="670" spans="2:2" x14ac:dyDescent="0.2">
      <c r="B670" s="7"/>
    </row>
    <row r="671" spans="2:2" x14ac:dyDescent="0.2">
      <c r="B671" s="7"/>
    </row>
    <row r="672" spans="2:2" x14ac:dyDescent="0.2">
      <c r="B672" s="7"/>
    </row>
    <row r="673" spans="2:2" x14ac:dyDescent="0.2">
      <c r="B673" s="7"/>
    </row>
    <row r="674" spans="2:2" x14ac:dyDescent="0.2">
      <c r="B674" s="7"/>
    </row>
    <row r="675" spans="2:2" x14ac:dyDescent="0.2">
      <c r="B675" s="7"/>
    </row>
    <row r="676" spans="2:2" x14ac:dyDescent="0.2">
      <c r="B676" s="7"/>
    </row>
    <row r="677" spans="2:2" x14ac:dyDescent="0.2">
      <c r="B677" s="7"/>
    </row>
    <row r="678" spans="2:2" x14ac:dyDescent="0.2">
      <c r="B678" s="7"/>
    </row>
    <row r="679" spans="2:2" x14ac:dyDescent="0.2">
      <c r="B679" s="7"/>
    </row>
    <row r="680" spans="2:2" x14ac:dyDescent="0.2">
      <c r="B680" s="7"/>
    </row>
    <row r="681" spans="2:2" x14ac:dyDescent="0.2">
      <c r="B681" s="7"/>
    </row>
    <row r="682" spans="2:2" x14ac:dyDescent="0.2">
      <c r="B682" s="7"/>
    </row>
    <row r="683" spans="2:2" x14ac:dyDescent="0.2">
      <c r="B683" s="7"/>
    </row>
    <row r="684" spans="2:2" x14ac:dyDescent="0.2">
      <c r="B684" s="7"/>
    </row>
    <row r="685" spans="2:2" x14ac:dyDescent="0.2">
      <c r="B685" s="7"/>
    </row>
    <row r="686" spans="2:2" x14ac:dyDescent="0.2">
      <c r="B686" s="7"/>
    </row>
    <row r="687" spans="2:2" x14ac:dyDescent="0.2">
      <c r="B687" s="7"/>
    </row>
    <row r="688" spans="2:2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  <row r="770" spans="2:2" x14ac:dyDescent="0.2">
      <c r="B770" s="7"/>
    </row>
    <row r="771" spans="2:2" x14ac:dyDescent="0.2">
      <c r="B771" s="7"/>
    </row>
    <row r="772" spans="2:2" x14ac:dyDescent="0.2">
      <c r="B772" s="7"/>
    </row>
    <row r="773" spans="2:2" x14ac:dyDescent="0.2">
      <c r="B773" s="7"/>
    </row>
    <row r="774" spans="2:2" x14ac:dyDescent="0.2">
      <c r="B774" s="7"/>
    </row>
    <row r="775" spans="2:2" x14ac:dyDescent="0.2">
      <c r="B775" s="7"/>
    </row>
    <row r="776" spans="2:2" x14ac:dyDescent="0.2">
      <c r="B776" s="7"/>
    </row>
    <row r="777" spans="2:2" x14ac:dyDescent="0.2">
      <c r="B777" s="7"/>
    </row>
    <row r="778" spans="2:2" x14ac:dyDescent="0.2">
      <c r="B778" s="7"/>
    </row>
    <row r="779" spans="2:2" x14ac:dyDescent="0.2">
      <c r="B779" s="7"/>
    </row>
    <row r="780" spans="2:2" x14ac:dyDescent="0.2">
      <c r="B780" s="7"/>
    </row>
    <row r="781" spans="2:2" x14ac:dyDescent="0.2">
      <c r="B781" s="7"/>
    </row>
    <row r="782" spans="2:2" x14ac:dyDescent="0.2">
      <c r="B782" s="7"/>
    </row>
    <row r="783" spans="2:2" x14ac:dyDescent="0.2">
      <c r="B783" s="7"/>
    </row>
    <row r="784" spans="2:2" x14ac:dyDescent="0.2">
      <c r="B784" s="7"/>
    </row>
    <row r="785" spans="2:2" x14ac:dyDescent="0.2">
      <c r="B785" s="7"/>
    </row>
    <row r="786" spans="2:2" x14ac:dyDescent="0.2">
      <c r="B786" s="7"/>
    </row>
    <row r="787" spans="2:2" x14ac:dyDescent="0.2">
      <c r="B787" s="7"/>
    </row>
    <row r="788" spans="2:2" x14ac:dyDescent="0.2">
      <c r="B788" s="7"/>
    </row>
    <row r="789" spans="2:2" x14ac:dyDescent="0.2">
      <c r="B789" s="7"/>
    </row>
    <row r="790" spans="2:2" x14ac:dyDescent="0.2">
      <c r="B790" s="7"/>
    </row>
    <row r="791" spans="2:2" x14ac:dyDescent="0.2">
      <c r="B791" s="7"/>
    </row>
    <row r="792" spans="2:2" x14ac:dyDescent="0.2">
      <c r="B792" s="7"/>
    </row>
    <row r="793" spans="2:2" x14ac:dyDescent="0.2">
      <c r="B793" s="7"/>
    </row>
    <row r="794" spans="2:2" x14ac:dyDescent="0.2">
      <c r="B794" s="7"/>
    </row>
    <row r="795" spans="2:2" x14ac:dyDescent="0.2">
      <c r="B795" s="7"/>
    </row>
    <row r="796" spans="2:2" x14ac:dyDescent="0.2">
      <c r="B796" s="7"/>
    </row>
    <row r="797" spans="2:2" x14ac:dyDescent="0.2">
      <c r="B797" s="7"/>
    </row>
    <row r="798" spans="2:2" x14ac:dyDescent="0.2">
      <c r="B798" s="7"/>
    </row>
    <row r="799" spans="2:2" x14ac:dyDescent="0.2">
      <c r="B799" s="7"/>
    </row>
    <row r="800" spans="2:2" x14ac:dyDescent="0.2">
      <c r="B800" s="7"/>
    </row>
    <row r="801" spans="2:2" x14ac:dyDescent="0.2">
      <c r="B801" s="7"/>
    </row>
    <row r="802" spans="2:2" x14ac:dyDescent="0.2">
      <c r="B802" s="7"/>
    </row>
    <row r="803" spans="2:2" x14ac:dyDescent="0.2">
      <c r="B803" s="7"/>
    </row>
    <row r="804" spans="2:2" x14ac:dyDescent="0.2">
      <c r="B804" s="7"/>
    </row>
    <row r="805" spans="2:2" x14ac:dyDescent="0.2">
      <c r="B805" s="7"/>
    </row>
    <row r="806" spans="2:2" x14ac:dyDescent="0.2">
      <c r="B806" s="7"/>
    </row>
    <row r="807" spans="2:2" x14ac:dyDescent="0.2">
      <c r="B807" s="7"/>
    </row>
    <row r="808" spans="2:2" x14ac:dyDescent="0.2">
      <c r="B808" s="7"/>
    </row>
    <row r="809" spans="2:2" x14ac:dyDescent="0.2">
      <c r="B809" s="7"/>
    </row>
    <row r="810" spans="2:2" x14ac:dyDescent="0.2">
      <c r="B810" s="7"/>
    </row>
    <row r="811" spans="2:2" x14ac:dyDescent="0.2">
      <c r="B811" s="7"/>
    </row>
    <row r="812" spans="2:2" x14ac:dyDescent="0.2">
      <c r="B812" s="7"/>
    </row>
    <row r="813" spans="2:2" x14ac:dyDescent="0.2">
      <c r="B813" s="7"/>
    </row>
    <row r="814" spans="2:2" x14ac:dyDescent="0.2">
      <c r="B814" s="7"/>
    </row>
    <row r="815" spans="2:2" x14ac:dyDescent="0.2">
      <c r="B815" s="7"/>
    </row>
    <row r="816" spans="2:2" x14ac:dyDescent="0.2">
      <c r="B816" s="7"/>
    </row>
    <row r="817" spans="2:2" x14ac:dyDescent="0.2">
      <c r="B817" s="7"/>
    </row>
    <row r="818" spans="2:2" x14ac:dyDescent="0.2">
      <c r="B818" s="7"/>
    </row>
    <row r="819" spans="2:2" x14ac:dyDescent="0.2">
      <c r="B819" s="7"/>
    </row>
    <row r="820" spans="2:2" x14ac:dyDescent="0.2">
      <c r="B820" s="7"/>
    </row>
    <row r="821" spans="2:2" x14ac:dyDescent="0.2">
      <c r="B821" s="7"/>
    </row>
    <row r="822" spans="2:2" x14ac:dyDescent="0.2">
      <c r="B822" s="7"/>
    </row>
    <row r="823" spans="2:2" x14ac:dyDescent="0.2">
      <c r="B823" s="7"/>
    </row>
    <row r="824" spans="2:2" x14ac:dyDescent="0.2">
      <c r="B824" s="7"/>
    </row>
    <row r="825" spans="2:2" x14ac:dyDescent="0.2">
      <c r="B825" s="7"/>
    </row>
    <row r="826" spans="2:2" x14ac:dyDescent="0.2">
      <c r="B826" s="7"/>
    </row>
    <row r="827" spans="2:2" x14ac:dyDescent="0.2">
      <c r="B827" s="7"/>
    </row>
    <row r="828" spans="2:2" x14ac:dyDescent="0.2">
      <c r="B828" s="7"/>
    </row>
    <row r="829" spans="2:2" x14ac:dyDescent="0.2">
      <c r="B829" s="7"/>
    </row>
    <row r="830" spans="2:2" x14ac:dyDescent="0.2">
      <c r="B830" s="7"/>
    </row>
    <row r="831" spans="2:2" x14ac:dyDescent="0.2">
      <c r="B831" s="7"/>
    </row>
    <row r="832" spans="2:2" x14ac:dyDescent="0.2">
      <c r="B832" s="7"/>
    </row>
    <row r="833" spans="2:2" x14ac:dyDescent="0.2">
      <c r="B833" s="7"/>
    </row>
    <row r="834" spans="2:2" x14ac:dyDescent="0.2">
      <c r="B834" s="7"/>
    </row>
    <row r="835" spans="2:2" x14ac:dyDescent="0.2">
      <c r="B835" s="7"/>
    </row>
    <row r="836" spans="2:2" x14ac:dyDescent="0.2">
      <c r="B836" s="7"/>
    </row>
    <row r="837" spans="2:2" x14ac:dyDescent="0.2">
      <c r="B837" s="7"/>
    </row>
    <row r="838" spans="2:2" x14ac:dyDescent="0.2">
      <c r="B838" s="7"/>
    </row>
    <row r="839" spans="2:2" x14ac:dyDescent="0.2">
      <c r="B839" s="7"/>
    </row>
    <row r="840" spans="2:2" x14ac:dyDescent="0.2">
      <c r="B840" s="7"/>
    </row>
    <row r="841" spans="2:2" x14ac:dyDescent="0.2">
      <c r="B841" s="7"/>
    </row>
    <row r="842" spans="2:2" x14ac:dyDescent="0.2">
      <c r="B842" s="7"/>
    </row>
    <row r="843" spans="2:2" x14ac:dyDescent="0.2">
      <c r="B843" s="7"/>
    </row>
    <row r="844" spans="2:2" x14ac:dyDescent="0.2">
      <c r="B844" s="7"/>
    </row>
    <row r="845" spans="2:2" x14ac:dyDescent="0.2">
      <c r="B845" s="7"/>
    </row>
    <row r="846" spans="2:2" x14ac:dyDescent="0.2">
      <c r="B846" s="7"/>
    </row>
    <row r="847" spans="2:2" x14ac:dyDescent="0.2">
      <c r="B847" s="7"/>
    </row>
    <row r="848" spans="2:2" x14ac:dyDescent="0.2">
      <c r="B848" s="7"/>
    </row>
    <row r="849" spans="2:2" x14ac:dyDescent="0.2">
      <c r="B849" s="7"/>
    </row>
    <row r="850" spans="2:2" x14ac:dyDescent="0.2">
      <c r="B850" s="7"/>
    </row>
    <row r="851" spans="2:2" x14ac:dyDescent="0.2">
      <c r="B851" s="7"/>
    </row>
    <row r="852" spans="2:2" x14ac:dyDescent="0.2">
      <c r="B852" s="7"/>
    </row>
    <row r="853" spans="2:2" x14ac:dyDescent="0.2">
      <c r="B853" s="7"/>
    </row>
    <row r="854" spans="2:2" x14ac:dyDescent="0.2">
      <c r="B854" s="7"/>
    </row>
    <row r="855" spans="2:2" x14ac:dyDescent="0.2">
      <c r="B855" s="7"/>
    </row>
    <row r="856" spans="2:2" x14ac:dyDescent="0.2">
      <c r="B856" s="7"/>
    </row>
    <row r="857" spans="2:2" x14ac:dyDescent="0.2">
      <c r="B857" s="7"/>
    </row>
    <row r="858" spans="2:2" x14ac:dyDescent="0.2">
      <c r="B858" s="7"/>
    </row>
    <row r="859" spans="2:2" x14ac:dyDescent="0.2">
      <c r="B859" s="7"/>
    </row>
    <row r="860" spans="2:2" x14ac:dyDescent="0.2">
      <c r="B860" s="7"/>
    </row>
    <row r="861" spans="2:2" x14ac:dyDescent="0.2">
      <c r="B861" s="7"/>
    </row>
    <row r="862" spans="2:2" x14ac:dyDescent="0.2">
      <c r="B862" s="7"/>
    </row>
    <row r="863" spans="2:2" x14ac:dyDescent="0.2">
      <c r="B863" s="7"/>
    </row>
    <row r="864" spans="2:2" x14ac:dyDescent="0.2">
      <c r="B864" s="7"/>
    </row>
    <row r="865" spans="2:2" x14ac:dyDescent="0.2">
      <c r="B865" s="7"/>
    </row>
    <row r="866" spans="2:2" x14ac:dyDescent="0.2">
      <c r="B866" s="7"/>
    </row>
    <row r="867" spans="2:2" x14ac:dyDescent="0.2">
      <c r="B867" s="7"/>
    </row>
    <row r="868" spans="2:2" x14ac:dyDescent="0.2">
      <c r="B868" s="7"/>
    </row>
    <row r="869" spans="2:2" x14ac:dyDescent="0.2">
      <c r="B869" s="7"/>
    </row>
    <row r="870" spans="2:2" x14ac:dyDescent="0.2">
      <c r="B870" s="7"/>
    </row>
    <row r="871" spans="2:2" x14ac:dyDescent="0.2">
      <c r="B871" s="7"/>
    </row>
    <row r="872" spans="2:2" x14ac:dyDescent="0.2">
      <c r="B872" s="7"/>
    </row>
    <row r="873" spans="2:2" x14ac:dyDescent="0.2">
      <c r="B873" s="7"/>
    </row>
    <row r="874" spans="2:2" x14ac:dyDescent="0.2">
      <c r="B874" s="7"/>
    </row>
    <row r="875" spans="2:2" x14ac:dyDescent="0.2">
      <c r="B875" s="7"/>
    </row>
    <row r="876" spans="2:2" x14ac:dyDescent="0.2">
      <c r="B876" s="7"/>
    </row>
    <row r="877" spans="2:2" x14ac:dyDescent="0.2">
      <c r="B877" s="7"/>
    </row>
    <row r="878" spans="2:2" x14ac:dyDescent="0.2">
      <c r="B878" s="7"/>
    </row>
    <row r="879" spans="2:2" x14ac:dyDescent="0.2">
      <c r="B879" s="7"/>
    </row>
    <row r="880" spans="2:2" x14ac:dyDescent="0.2">
      <c r="B880" s="7"/>
    </row>
    <row r="881" spans="2:2" x14ac:dyDescent="0.2">
      <c r="B881" s="7"/>
    </row>
    <row r="882" spans="2:2" x14ac:dyDescent="0.2">
      <c r="B882" s="7"/>
    </row>
    <row r="883" spans="2:2" x14ac:dyDescent="0.2">
      <c r="B883" s="7"/>
    </row>
    <row r="884" spans="2:2" x14ac:dyDescent="0.2">
      <c r="B884" s="7"/>
    </row>
    <row r="885" spans="2:2" x14ac:dyDescent="0.2">
      <c r="B885" s="7"/>
    </row>
    <row r="886" spans="2:2" x14ac:dyDescent="0.2">
      <c r="B886" s="7"/>
    </row>
    <row r="887" spans="2:2" x14ac:dyDescent="0.2">
      <c r="B887" s="7"/>
    </row>
    <row r="888" spans="2:2" x14ac:dyDescent="0.2">
      <c r="B888" s="7"/>
    </row>
    <row r="889" spans="2:2" x14ac:dyDescent="0.2">
      <c r="B889" s="7"/>
    </row>
    <row r="890" spans="2:2" x14ac:dyDescent="0.2">
      <c r="B890" s="7"/>
    </row>
    <row r="891" spans="2:2" x14ac:dyDescent="0.2">
      <c r="B891" s="7"/>
    </row>
    <row r="892" spans="2:2" x14ac:dyDescent="0.2">
      <c r="B892" s="7"/>
    </row>
    <row r="893" spans="2:2" x14ac:dyDescent="0.2">
      <c r="B893" s="7"/>
    </row>
    <row r="894" spans="2:2" x14ac:dyDescent="0.2">
      <c r="B894" s="7"/>
    </row>
    <row r="895" spans="2:2" x14ac:dyDescent="0.2">
      <c r="B895" s="7"/>
    </row>
    <row r="896" spans="2:2" x14ac:dyDescent="0.2">
      <c r="B896" s="7"/>
    </row>
    <row r="897" spans="2:2" x14ac:dyDescent="0.2">
      <c r="B897" s="7"/>
    </row>
    <row r="898" spans="2:2" x14ac:dyDescent="0.2">
      <c r="B898" s="7"/>
    </row>
    <row r="899" spans="2:2" x14ac:dyDescent="0.2">
      <c r="B899" s="7"/>
    </row>
    <row r="900" spans="2:2" x14ac:dyDescent="0.2">
      <c r="B900" s="7"/>
    </row>
    <row r="901" spans="2:2" x14ac:dyDescent="0.2">
      <c r="B901" s="7"/>
    </row>
    <row r="902" spans="2:2" x14ac:dyDescent="0.2">
      <c r="B902" s="7"/>
    </row>
    <row r="903" spans="2:2" x14ac:dyDescent="0.2">
      <c r="B903" s="7"/>
    </row>
    <row r="904" spans="2:2" x14ac:dyDescent="0.2">
      <c r="B904" s="7"/>
    </row>
    <row r="905" spans="2:2" x14ac:dyDescent="0.2">
      <c r="B905" s="7"/>
    </row>
    <row r="906" spans="2:2" x14ac:dyDescent="0.2">
      <c r="B906" s="7"/>
    </row>
    <row r="907" spans="2:2" x14ac:dyDescent="0.2">
      <c r="B907" s="7"/>
    </row>
    <row r="908" spans="2:2" x14ac:dyDescent="0.2">
      <c r="B908" s="7"/>
    </row>
    <row r="909" spans="2:2" x14ac:dyDescent="0.2">
      <c r="B909" s="7"/>
    </row>
    <row r="910" spans="2:2" x14ac:dyDescent="0.2">
      <c r="B910" s="7"/>
    </row>
    <row r="911" spans="2:2" x14ac:dyDescent="0.2">
      <c r="B911" s="7"/>
    </row>
    <row r="912" spans="2:2" x14ac:dyDescent="0.2">
      <c r="B912" s="7"/>
    </row>
    <row r="913" spans="2:2" x14ac:dyDescent="0.2">
      <c r="B913" s="7"/>
    </row>
    <row r="914" spans="2:2" x14ac:dyDescent="0.2">
      <c r="B914" s="7"/>
    </row>
    <row r="915" spans="2:2" x14ac:dyDescent="0.2">
      <c r="B915" s="7"/>
    </row>
    <row r="916" spans="2:2" x14ac:dyDescent="0.2">
      <c r="B916" s="7"/>
    </row>
    <row r="917" spans="2:2" x14ac:dyDescent="0.2">
      <c r="B917" s="7"/>
    </row>
    <row r="918" spans="2:2" x14ac:dyDescent="0.2">
      <c r="B918" s="7"/>
    </row>
    <row r="919" spans="2:2" x14ac:dyDescent="0.2">
      <c r="B919" s="7"/>
    </row>
    <row r="920" spans="2:2" x14ac:dyDescent="0.2">
      <c r="B920" s="7"/>
    </row>
    <row r="921" spans="2:2" x14ac:dyDescent="0.2">
      <c r="B921" s="7"/>
    </row>
    <row r="922" spans="2:2" x14ac:dyDescent="0.2">
      <c r="B922" s="7"/>
    </row>
    <row r="923" spans="2:2" x14ac:dyDescent="0.2">
      <c r="B923" s="7"/>
    </row>
    <row r="924" spans="2:2" x14ac:dyDescent="0.2">
      <c r="B924" s="7"/>
    </row>
    <row r="925" spans="2:2" x14ac:dyDescent="0.2">
      <c r="B925" s="7"/>
    </row>
    <row r="926" spans="2:2" x14ac:dyDescent="0.2">
      <c r="B926" s="7"/>
    </row>
    <row r="927" spans="2:2" x14ac:dyDescent="0.2">
      <c r="B927" s="7"/>
    </row>
    <row r="928" spans="2:2" x14ac:dyDescent="0.2">
      <c r="B928" s="7"/>
    </row>
    <row r="929" spans="2:2" x14ac:dyDescent="0.2">
      <c r="B929" s="7"/>
    </row>
    <row r="930" spans="2:2" x14ac:dyDescent="0.2">
      <c r="B930" s="7"/>
    </row>
    <row r="931" spans="2:2" x14ac:dyDescent="0.2">
      <c r="B931" s="7"/>
    </row>
    <row r="932" spans="2:2" x14ac:dyDescent="0.2">
      <c r="B932" s="7"/>
    </row>
    <row r="933" spans="2:2" x14ac:dyDescent="0.2">
      <c r="B933" s="7"/>
    </row>
    <row r="934" spans="2:2" x14ac:dyDescent="0.2">
      <c r="B934" s="7"/>
    </row>
    <row r="935" spans="2:2" x14ac:dyDescent="0.2">
      <c r="B935" s="7"/>
    </row>
    <row r="936" spans="2:2" x14ac:dyDescent="0.2">
      <c r="B936" s="7"/>
    </row>
    <row r="937" spans="2:2" x14ac:dyDescent="0.2">
      <c r="B937" s="7"/>
    </row>
    <row r="938" spans="2:2" x14ac:dyDescent="0.2">
      <c r="B938" s="7"/>
    </row>
    <row r="939" spans="2:2" x14ac:dyDescent="0.2">
      <c r="B939" s="7"/>
    </row>
    <row r="940" spans="2:2" x14ac:dyDescent="0.2">
      <c r="B940" s="7"/>
    </row>
    <row r="941" spans="2:2" x14ac:dyDescent="0.2">
      <c r="B941" s="7"/>
    </row>
    <row r="942" spans="2:2" x14ac:dyDescent="0.2">
      <c r="B942" s="7"/>
    </row>
    <row r="943" spans="2:2" x14ac:dyDescent="0.2">
      <c r="B943" s="7"/>
    </row>
    <row r="944" spans="2:2" x14ac:dyDescent="0.2">
      <c r="B944" s="7"/>
    </row>
    <row r="945" spans="2:2" x14ac:dyDescent="0.2">
      <c r="B945" s="7"/>
    </row>
    <row r="946" spans="2:2" x14ac:dyDescent="0.2">
      <c r="B946" s="7"/>
    </row>
    <row r="947" spans="2:2" x14ac:dyDescent="0.2">
      <c r="B947" s="7"/>
    </row>
    <row r="948" spans="2:2" x14ac:dyDescent="0.2">
      <c r="B948" s="7"/>
    </row>
    <row r="949" spans="2:2" x14ac:dyDescent="0.2">
      <c r="B949" s="7"/>
    </row>
    <row r="950" spans="2:2" x14ac:dyDescent="0.2">
      <c r="B950" s="7"/>
    </row>
    <row r="951" spans="2:2" x14ac:dyDescent="0.2">
      <c r="B951" s="7"/>
    </row>
    <row r="952" spans="2:2" x14ac:dyDescent="0.2">
      <c r="B952" s="7"/>
    </row>
    <row r="953" spans="2:2" x14ac:dyDescent="0.2">
      <c r="B953" s="7"/>
    </row>
    <row r="954" spans="2:2" x14ac:dyDescent="0.2">
      <c r="B954" s="7"/>
    </row>
    <row r="955" spans="2:2" x14ac:dyDescent="0.2">
      <c r="B955" s="7"/>
    </row>
    <row r="956" spans="2:2" x14ac:dyDescent="0.2">
      <c r="B956" s="7"/>
    </row>
    <row r="957" spans="2:2" x14ac:dyDescent="0.2">
      <c r="B957" s="7"/>
    </row>
    <row r="958" spans="2:2" x14ac:dyDescent="0.2">
      <c r="B958" s="7"/>
    </row>
    <row r="959" spans="2:2" x14ac:dyDescent="0.2">
      <c r="B959" s="7"/>
    </row>
    <row r="960" spans="2:2" x14ac:dyDescent="0.2">
      <c r="B960" s="7"/>
    </row>
    <row r="961" spans="2:2" x14ac:dyDescent="0.2">
      <c r="B961" s="7"/>
    </row>
    <row r="962" spans="2:2" x14ac:dyDescent="0.2">
      <c r="B962" s="7"/>
    </row>
    <row r="963" spans="2:2" x14ac:dyDescent="0.2">
      <c r="B963" s="7"/>
    </row>
    <row r="964" spans="2:2" x14ac:dyDescent="0.2">
      <c r="B964" s="7"/>
    </row>
    <row r="965" spans="2:2" x14ac:dyDescent="0.2">
      <c r="B965" s="7"/>
    </row>
    <row r="966" spans="2:2" x14ac:dyDescent="0.2">
      <c r="B966" s="7"/>
    </row>
    <row r="967" spans="2:2" x14ac:dyDescent="0.2">
      <c r="B967" s="7"/>
    </row>
    <row r="968" spans="2:2" x14ac:dyDescent="0.2">
      <c r="B968" s="7"/>
    </row>
    <row r="969" spans="2:2" x14ac:dyDescent="0.2">
      <c r="B969" s="7"/>
    </row>
    <row r="970" spans="2:2" x14ac:dyDescent="0.2">
      <c r="B970" s="7"/>
    </row>
    <row r="971" spans="2:2" x14ac:dyDescent="0.2">
      <c r="B971" s="7"/>
    </row>
    <row r="972" spans="2:2" x14ac:dyDescent="0.2">
      <c r="B972" s="7"/>
    </row>
    <row r="973" spans="2:2" x14ac:dyDescent="0.2">
      <c r="B973" s="7"/>
    </row>
    <row r="974" spans="2:2" x14ac:dyDescent="0.2">
      <c r="B974" s="7"/>
    </row>
    <row r="975" spans="2:2" x14ac:dyDescent="0.2">
      <c r="B975" s="7"/>
    </row>
    <row r="976" spans="2:2" x14ac:dyDescent="0.2">
      <c r="B976" s="7"/>
    </row>
    <row r="977" spans="2:2" x14ac:dyDescent="0.2">
      <c r="B977" s="7"/>
    </row>
    <row r="978" spans="2:2" x14ac:dyDescent="0.2">
      <c r="B978" s="7"/>
    </row>
    <row r="979" spans="2:2" x14ac:dyDescent="0.2">
      <c r="B979" s="7"/>
    </row>
    <row r="980" spans="2:2" x14ac:dyDescent="0.2">
      <c r="B980" s="7"/>
    </row>
    <row r="981" spans="2:2" x14ac:dyDescent="0.2">
      <c r="B981" s="7"/>
    </row>
    <row r="982" spans="2:2" x14ac:dyDescent="0.2">
      <c r="B982" s="7"/>
    </row>
    <row r="983" spans="2:2" x14ac:dyDescent="0.2">
      <c r="B983" s="7"/>
    </row>
    <row r="984" spans="2:2" x14ac:dyDescent="0.2">
      <c r="B984" s="7"/>
    </row>
    <row r="985" spans="2:2" x14ac:dyDescent="0.2">
      <c r="B985" s="7"/>
    </row>
    <row r="986" spans="2:2" x14ac:dyDescent="0.2">
      <c r="B986" s="7"/>
    </row>
    <row r="987" spans="2:2" x14ac:dyDescent="0.2">
      <c r="B987" s="7"/>
    </row>
    <row r="988" spans="2:2" x14ac:dyDescent="0.2">
      <c r="B988" s="7"/>
    </row>
    <row r="989" spans="2:2" x14ac:dyDescent="0.2">
      <c r="B989" s="7"/>
    </row>
    <row r="990" spans="2:2" x14ac:dyDescent="0.2">
      <c r="B990" s="7"/>
    </row>
    <row r="991" spans="2:2" x14ac:dyDescent="0.2">
      <c r="B991" s="7"/>
    </row>
    <row r="992" spans="2:2" x14ac:dyDescent="0.2">
      <c r="B992" s="7"/>
    </row>
    <row r="993" spans="2:2" x14ac:dyDescent="0.2">
      <c r="B993" s="7"/>
    </row>
    <row r="994" spans="2:2" x14ac:dyDescent="0.2">
      <c r="B994" s="7"/>
    </row>
    <row r="995" spans="2:2" x14ac:dyDescent="0.2">
      <c r="B995" s="7"/>
    </row>
    <row r="996" spans="2:2" x14ac:dyDescent="0.2">
      <c r="B996" s="7"/>
    </row>
    <row r="997" spans="2:2" x14ac:dyDescent="0.2">
      <c r="B997" s="7"/>
    </row>
    <row r="998" spans="2:2" x14ac:dyDescent="0.2">
      <c r="B998" s="7"/>
    </row>
    <row r="999" spans="2:2" x14ac:dyDescent="0.2">
      <c r="B999" s="7"/>
    </row>
    <row r="1000" spans="2:2" x14ac:dyDescent="0.2">
      <c r="B1000" s="7"/>
    </row>
    <row r="1001" spans="2:2" x14ac:dyDescent="0.2">
      <c r="B1001" s="7"/>
    </row>
    <row r="1002" spans="2:2" x14ac:dyDescent="0.2">
      <c r="B1002" s="7"/>
    </row>
    <row r="1003" spans="2:2" x14ac:dyDescent="0.2">
      <c r="B1003" s="7"/>
    </row>
    <row r="1004" spans="2:2" x14ac:dyDescent="0.2">
      <c r="B1004" s="7"/>
    </row>
    <row r="1005" spans="2:2" x14ac:dyDescent="0.2">
      <c r="B1005" s="7"/>
    </row>
    <row r="1006" spans="2:2" x14ac:dyDescent="0.2">
      <c r="B1006" s="7"/>
    </row>
    <row r="1007" spans="2:2" x14ac:dyDescent="0.2">
      <c r="B1007" s="7"/>
    </row>
    <row r="1008" spans="2:2" x14ac:dyDescent="0.2">
      <c r="B1008" s="7"/>
    </row>
    <row r="1009" spans="2:2" x14ac:dyDescent="0.2">
      <c r="B1009" s="7"/>
    </row>
    <row r="1010" spans="2:2" x14ac:dyDescent="0.2">
      <c r="B1010" s="7"/>
    </row>
    <row r="1011" spans="2:2" x14ac:dyDescent="0.2">
      <c r="B1011" s="7"/>
    </row>
    <row r="1012" spans="2:2" x14ac:dyDescent="0.2">
      <c r="B1012" s="7"/>
    </row>
    <row r="1013" spans="2:2" x14ac:dyDescent="0.2">
      <c r="B1013" s="7"/>
    </row>
    <row r="1014" spans="2:2" x14ac:dyDescent="0.2">
      <c r="B1014" s="7"/>
    </row>
    <row r="1015" spans="2:2" x14ac:dyDescent="0.2">
      <c r="B1015" s="7"/>
    </row>
    <row r="1016" spans="2:2" x14ac:dyDescent="0.2">
      <c r="B1016" s="7"/>
    </row>
    <row r="1017" spans="2:2" x14ac:dyDescent="0.2">
      <c r="B1017" s="7"/>
    </row>
    <row r="1018" spans="2:2" x14ac:dyDescent="0.2">
      <c r="B1018" s="7"/>
    </row>
    <row r="1019" spans="2:2" x14ac:dyDescent="0.2">
      <c r="B1019" s="7"/>
    </row>
    <row r="1020" spans="2:2" x14ac:dyDescent="0.2">
      <c r="B1020" s="7"/>
    </row>
    <row r="1021" spans="2:2" x14ac:dyDescent="0.2">
      <c r="B1021" s="7"/>
    </row>
    <row r="1022" spans="2:2" x14ac:dyDescent="0.2">
      <c r="B1022" s="7"/>
    </row>
    <row r="1023" spans="2:2" x14ac:dyDescent="0.2">
      <c r="B1023" s="7"/>
    </row>
    <row r="1024" spans="2:2" x14ac:dyDescent="0.2">
      <c r="B1024" s="7"/>
    </row>
    <row r="1025" spans="2:2" x14ac:dyDescent="0.2">
      <c r="B1025" s="7"/>
    </row>
    <row r="1026" spans="2:2" x14ac:dyDescent="0.2">
      <c r="B1026" s="7"/>
    </row>
    <row r="1027" spans="2:2" x14ac:dyDescent="0.2">
      <c r="B1027" s="7"/>
    </row>
    <row r="1028" spans="2:2" x14ac:dyDescent="0.2">
      <c r="B1028" s="7"/>
    </row>
    <row r="1029" spans="2:2" x14ac:dyDescent="0.2">
      <c r="B1029" s="7"/>
    </row>
    <row r="1030" spans="2:2" x14ac:dyDescent="0.2">
      <c r="B1030" s="7"/>
    </row>
    <row r="1031" spans="2:2" x14ac:dyDescent="0.2">
      <c r="B1031" s="7"/>
    </row>
    <row r="1032" spans="2:2" x14ac:dyDescent="0.2">
      <c r="B1032" s="7"/>
    </row>
    <row r="1033" spans="2:2" x14ac:dyDescent="0.2">
      <c r="B1033" s="7"/>
    </row>
    <row r="1034" spans="2:2" x14ac:dyDescent="0.2">
      <c r="B1034" s="7"/>
    </row>
    <row r="1035" spans="2:2" x14ac:dyDescent="0.2">
      <c r="B1035" s="7"/>
    </row>
    <row r="1036" spans="2:2" x14ac:dyDescent="0.2">
      <c r="B1036" s="7"/>
    </row>
    <row r="1037" spans="2:2" x14ac:dyDescent="0.2">
      <c r="B1037" s="7"/>
    </row>
    <row r="1038" spans="2:2" x14ac:dyDescent="0.2">
      <c r="B1038" s="7"/>
    </row>
    <row r="1039" spans="2:2" x14ac:dyDescent="0.2">
      <c r="B1039" s="7"/>
    </row>
    <row r="1040" spans="2:2" x14ac:dyDescent="0.2">
      <c r="B1040" s="7"/>
    </row>
    <row r="1041" spans="2:2" x14ac:dyDescent="0.2">
      <c r="B1041" s="7"/>
    </row>
    <row r="1042" spans="2:2" x14ac:dyDescent="0.2">
      <c r="B1042" s="7"/>
    </row>
    <row r="1043" spans="2:2" x14ac:dyDescent="0.2">
      <c r="B1043" s="7"/>
    </row>
    <row r="1044" spans="2:2" x14ac:dyDescent="0.2">
      <c r="B1044" s="7"/>
    </row>
    <row r="1045" spans="2:2" x14ac:dyDescent="0.2">
      <c r="B1045" s="7"/>
    </row>
    <row r="1046" spans="2:2" x14ac:dyDescent="0.2">
      <c r="B1046" s="7"/>
    </row>
    <row r="1047" spans="2:2" x14ac:dyDescent="0.2">
      <c r="B1047" s="7"/>
    </row>
    <row r="1048" spans="2:2" x14ac:dyDescent="0.2">
      <c r="B1048" s="7"/>
    </row>
    <row r="1049" spans="2:2" x14ac:dyDescent="0.2">
      <c r="B1049" s="7"/>
    </row>
    <row r="1050" spans="2:2" x14ac:dyDescent="0.2">
      <c r="B1050" s="7"/>
    </row>
    <row r="1051" spans="2:2" x14ac:dyDescent="0.2">
      <c r="B1051" s="7"/>
    </row>
    <row r="1052" spans="2:2" x14ac:dyDescent="0.2">
      <c r="B1052" s="7"/>
    </row>
    <row r="1053" spans="2:2" x14ac:dyDescent="0.2">
      <c r="B1053" s="7"/>
    </row>
    <row r="1054" spans="2:2" x14ac:dyDescent="0.2">
      <c r="B1054" s="7"/>
    </row>
    <row r="1055" spans="2:2" x14ac:dyDescent="0.2">
      <c r="B1055" s="7"/>
    </row>
    <row r="1056" spans="2:2" x14ac:dyDescent="0.2">
      <c r="B1056" s="7"/>
    </row>
    <row r="1057" spans="2:2" x14ac:dyDescent="0.2">
      <c r="B1057" s="7"/>
    </row>
    <row r="1058" spans="2:2" x14ac:dyDescent="0.2">
      <c r="B1058" s="7"/>
    </row>
    <row r="1059" spans="2:2" x14ac:dyDescent="0.2">
      <c r="B1059" s="7"/>
    </row>
    <row r="1060" spans="2:2" x14ac:dyDescent="0.2">
      <c r="B1060" s="7"/>
    </row>
    <row r="1061" spans="2:2" x14ac:dyDescent="0.2">
      <c r="B1061" s="7"/>
    </row>
    <row r="1062" spans="2:2" x14ac:dyDescent="0.2">
      <c r="B1062" s="7"/>
    </row>
    <row r="1063" spans="2:2" x14ac:dyDescent="0.2">
      <c r="B1063" s="7"/>
    </row>
    <row r="1064" spans="2:2" x14ac:dyDescent="0.2">
      <c r="B1064" s="7"/>
    </row>
    <row r="1065" spans="2:2" x14ac:dyDescent="0.2">
      <c r="B1065" s="7"/>
    </row>
    <row r="1066" spans="2:2" x14ac:dyDescent="0.2">
      <c r="B1066" s="7"/>
    </row>
    <row r="1067" spans="2:2" x14ac:dyDescent="0.2">
      <c r="B1067" s="7"/>
    </row>
    <row r="1068" spans="2:2" x14ac:dyDescent="0.2">
      <c r="B1068" s="7"/>
    </row>
    <row r="1069" spans="2:2" x14ac:dyDescent="0.2">
      <c r="B1069" s="7"/>
    </row>
    <row r="1070" spans="2:2" x14ac:dyDescent="0.2">
      <c r="B1070" s="7"/>
    </row>
    <row r="1071" spans="2:2" x14ac:dyDescent="0.2">
      <c r="B1071" s="7"/>
    </row>
    <row r="1072" spans="2:2" x14ac:dyDescent="0.2">
      <c r="B1072" s="7"/>
    </row>
    <row r="1073" spans="2:2" x14ac:dyDescent="0.2">
      <c r="B1073" s="7"/>
    </row>
    <row r="1074" spans="2:2" x14ac:dyDescent="0.2">
      <c r="B1074" s="7"/>
    </row>
    <row r="1075" spans="2:2" x14ac:dyDescent="0.2">
      <c r="B1075" s="7"/>
    </row>
    <row r="1076" spans="2:2" x14ac:dyDescent="0.2">
      <c r="B1076" s="7"/>
    </row>
    <row r="1077" spans="2:2" x14ac:dyDescent="0.2">
      <c r="B1077" s="7"/>
    </row>
    <row r="1078" spans="2:2" x14ac:dyDescent="0.2">
      <c r="B1078" s="7"/>
    </row>
    <row r="1079" spans="2:2" x14ac:dyDescent="0.2">
      <c r="B1079" s="7"/>
    </row>
    <row r="1080" spans="2:2" x14ac:dyDescent="0.2">
      <c r="B1080" s="7"/>
    </row>
    <row r="1081" spans="2:2" x14ac:dyDescent="0.2">
      <c r="B1081" s="7"/>
    </row>
    <row r="1082" spans="2:2" x14ac:dyDescent="0.2">
      <c r="B1082" s="7"/>
    </row>
    <row r="1083" spans="2:2" x14ac:dyDescent="0.2">
      <c r="B1083" s="7"/>
    </row>
    <row r="1084" spans="2:2" x14ac:dyDescent="0.2">
      <c r="B1084" s="7"/>
    </row>
    <row r="1085" spans="2:2" x14ac:dyDescent="0.2">
      <c r="B1085" s="7"/>
    </row>
    <row r="1086" spans="2:2" x14ac:dyDescent="0.2">
      <c r="B1086" s="7"/>
    </row>
    <row r="1087" spans="2:2" x14ac:dyDescent="0.2">
      <c r="B1087" s="7"/>
    </row>
    <row r="1088" spans="2:2" x14ac:dyDescent="0.2">
      <c r="B1088" s="7"/>
    </row>
    <row r="1089" spans="2:2" x14ac:dyDescent="0.2">
      <c r="B1089" s="7"/>
    </row>
    <row r="1090" spans="2:2" x14ac:dyDescent="0.2">
      <c r="B1090" s="7"/>
    </row>
    <row r="1091" spans="2:2" x14ac:dyDescent="0.2">
      <c r="B1091" s="7"/>
    </row>
    <row r="1092" spans="2:2" x14ac:dyDescent="0.2">
      <c r="B1092" s="7"/>
    </row>
    <row r="1093" spans="2:2" x14ac:dyDescent="0.2">
      <c r="B1093" s="7"/>
    </row>
    <row r="1094" spans="2:2" x14ac:dyDescent="0.2">
      <c r="B1094" s="7"/>
    </row>
    <row r="1095" spans="2:2" x14ac:dyDescent="0.2">
      <c r="B1095" s="7"/>
    </row>
    <row r="1096" spans="2:2" x14ac:dyDescent="0.2">
      <c r="B1096" s="7"/>
    </row>
    <row r="1097" spans="2:2" x14ac:dyDescent="0.2">
      <c r="B1097" s="7"/>
    </row>
    <row r="1098" spans="2:2" x14ac:dyDescent="0.2">
      <c r="B1098" s="7"/>
    </row>
    <row r="1099" spans="2:2" x14ac:dyDescent="0.2">
      <c r="B1099" s="7"/>
    </row>
    <row r="1100" spans="2:2" x14ac:dyDescent="0.2">
      <c r="B1100" s="7"/>
    </row>
    <row r="1101" spans="2:2" x14ac:dyDescent="0.2">
      <c r="B1101" s="7"/>
    </row>
    <row r="1102" spans="2:2" x14ac:dyDescent="0.2">
      <c r="B1102" s="7"/>
    </row>
    <row r="1103" spans="2:2" x14ac:dyDescent="0.2">
      <c r="B1103" s="7"/>
    </row>
    <row r="1104" spans="2:2" x14ac:dyDescent="0.2">
      <c r="B1104" s="7"/>
    </row>
    <row r="1105" spans="2:2" x14ac:dyDescent="0.2">
      <c r="B1105" s="7"/>
    </row>
    <row r="1106" spans="2:2" x14ac:dyDescent="0.2">
      <c r="B1106" s="7"/>
    </row>
    <row r="1107" spans="2:2" x14ac:dyDescent="0.2">
      <c r="B1107" s="7"/>
    </row>
    <row r="1108" spans="2:2" x14ac:dyDescent="0.2">
      <c r="B1108" s="7"/>
    </row>
    <row r="1109" spans="2:2" x14ac:dyDescent="0.2">
      <c r="B1109" s="7"/>
    </row>
    <row r="1110" spans="2:2" x14ac:dyDescent="0.2">
      <c r="B1110" s="7"/>
    </row>
    <row r="1111" spans="2:2" x14ac:dyDescent="0.2">
      <c r="B1111" s="7"/>
    </row>
    <row r="1112" spans="2:2" x14ac:dyDescent="0.2">
      <c r="B1112" s="7"/>
    </row>
    <row r="1113" spans="2:2" x14ac:dyDescent="0.2">
      <c r="B1113" s="7"/>
    </row>
    <row r="1114" spans="2:2" x14ac:dyDescent="0.2">
      <c r="B1114" s="7"/>
    </row>
    <row r="1115" spans="2:2" x14ac:dyDescent="0.2">
      <c r="B1115" s="7"/>
    </row>
    <row r="1116" spans="2:2" x14ac:dyDescent="0.2">
      <c r="B1116" s="7"/>
    </row>
    <row r="1117" spans="2:2" x14ac:dyDescent="0.2">
      <c r="B1117" s="7"/>
    </row>
    <row r="1118" spans="2:2" x14ac:dyDescent="0.2">
      <c r="B1118" s="7"/>
    </row>
    <row r="1119" spans="2:2" x14ac:dyDescent="0.2">
      <c r="B1119" s="7"/>
    </row>
    <row r="1120" spans="2:2" x14ac:dyDescent="0.2">
      <c r="B1120" s="7"/>
    </row>
    <row r="1121" spans="2:2" x14ac:dyDescent="0.2">
      <c r="B1121" s="7"/>
    </row>
    <row r="1122" spans="2:2" x14ac:dyDescent="0.2">
      <c r="B1122" s="7"/>
    </row>
    <row r="1123" spans="2:2" x14ac:dyDescent="0.2">
      <c r="B1123" s="7"/>
    </row>
    <row r="1124" spans="2:2" x14ac:dyDescent="0.2">
      <c r="B1124" s="7"/>
    </row>
    <row r="1125" spans="2:2" x14ac:dyDescent="0.2">
      <c r="B1125" s="7"/>
    </row>
    <row r="1126" spans="2:2" x14ac:dyDescent="0.2">
      <c r="B1126" s="7"/>
    </row>
    <row r="1127" spans="2:2" x14ac:dyDescent="0.2">
      <c r="B1127" s="7"/>
    </row>
    <row r="1128" spans="2:2" x14ac:dyDescent="0.2">
      <c r="B1128" s="7"/>
    </row>
    <row r="1129" spans="2:2" x14ac:dyDescent="0.2">
      <c r="B1129" s="7"/>
    </row>
    <row r="1130" spans="2:2" x14ac:dyDescent="0.2">
      <c r="B1130" s="7"/>
    </row>
    <row r="1131" spans="2:2" x14ac:dyDescent="0.2">
      <c r="B1131" s="7"/>
    </row>
    <row r="1132" spans="2:2" x14ac:dyDescent="0.2">
      <c r="B1132" s="7"/>
    </row>
    <row r="1133" spans="2:2" x14ac:dyDescent="0.2">
      <c r="B1133" s="7"/>
    </row>
    <row r="1134" spans="2:2" x14ac:dyDescent="0.2">
      <c r="B1134" s="7"/>
    </row>
    <row r="1135" spans="2:2" x14ac:dyDescent="0.2">
      <c r="B1135" s="7"/>
    </row>
    <row r="1136" spans="2:2" x14ac:dyDescent="0.2">
      <c r="B1136" s="7"/>
    </row>
    <row r="1137" spans="2:2" x14ac:dyDescent="0.2">
      <c r="B1137" s="7"/>
    </row>
    <row r="1138" spans="2:2" x14ac:dyDescent="0.2">
      <c r="B1138" s="7"/>
    </row>
    <row r="1139" spans="2:2" x14ac:dyDescent="0.2">
      <c r="B1139" s="7"/>
    </row>
    <row r="1140" spans="2:2" x14ac:dyDescent="0.2">
      <c r="B1140" s="7"/>
    </row>
    <row r="1141" spans="2:2" x14ac:dyDescent="0.2">
      <c r="B1141" s="7"/>
    </row>
    <row r="1142" spans="2:2" x14ac:dyDescent="0.2">
      <c r="B1142" s="7"/>
    </row>
    <row r="1143" spans="2:2" x14ac:dyDescent="0.2">
      <c r="B1143" s="7"/>
    </row>
    <row r="1144" spans="2:2" x14ac:dyDescent="0.2">
      <c r="B1144" s="7"/>
    </row>
    <row r="1145" spans="2:2" x14ac:dyDescent="0.2">
      <c r="B1145" s="7"/>
    </row>
    <row r="1146" spans="2:2" x14ac:dyDescent="0.2">
      <c r="B1146" s="7"/>
    </row>
    <row r="1147" spans="2:2" x14ac:dyDescent="0.2">
      <c r="B1147" s="7"/>
    </row>
    <row r="1148" spans="2:2" x14ac:dyDescent="0.2">
      <c r="B1148" s="7"/>
    </row>
    <row r="1149" spans="2:2" x14ac:dyDescent="0.2">
      <c r="B1149" s="7"/>
    </row>
    <row r="1150" spans="2:2" x14ac:dyDescent="0.2">
      <c r="B1150" s="7"/>
    </row>
    <row r="1151" spans="2:2" x14ac:dyDescent="0.2">
      <c r="B1151" s="7"/>
    </row>
    <row r="1152" spans="2:2" x14ac:dyDescent="0.2">
      <c r="B1152" s="7"/>
    </row>
    <row r="1153" spans="2:2" x14ac:dyDescent="0.2">
      <c r="B1153" s="7"/>
    </row>
    <row r="1154" spans="2:2" x14ac:dyDescent="0.2">
      <c r="B1154" s="7"/>
    </row>
    <row r="1155" spans="2:2" x14ac:dyDescent="0.2">
      <c r="B1155" s="7"/>
    </row>
    <row r="1156" spans="2:2" x14ac:dyDescent="0.2">
      <c r="B1156" s="7"/>
    </row>
    <row r="1157" spans="2:2" x14ac:dyDescent="0.2">
      <c r="B1157" s="7"/>
    </row>
    <row r="1158" spans="2:2" x14ac:dyDescent="0.2">
      <c r="B1158" s="7"/>
    </row>
    <row r="1159" spans="2:2" x14ac:dyDescent="0.2">
      <c r="B1159" s="7"/>
    </row>
    <row r="1160" spans="2:2" x14ac:dyDescent="0.2">
      <c r="B1160" s="7"/>
    </row>
    <row r="1161" spans="2:2" x14ac:dyDescent="0.2">
      <c r="B1161" s="7"/>
    </row>
    <row r="1162" spans="2:2" x14ac:dyDescent="0.2">
      <c r="B1162" s="7"/>
    </row>
    <row r="1163" spans="2:2" x14ac:dyDescent="0.2">
      <c r="B1163" s="7"/>
    </row>
    <row r="1164" spans="2:2" x14ac:dyDescent="0.2">
      <c r="B1164" s="7"/>
    </row>
    <row r="1165" spans="2:2" x14ac:dyDescent="0.2">
      <c r="B1165" s="7"/>
    </row>
    <row r="1166" spans="2:2" x14ac:dyDescent="0.2">
      <c r="B1166" s="7"/>
    </row>
    <row r="1167" spans="2:2" x14ac:dyDescent="0.2">
      <c r="B1167" s="7"/>
    </row>
    <row r="1168" spans="2:2" x14ac:dyDescent="0.2">
      <c r="B1168" s="7"/>
    </row>
    <row r="1169" spans="2:2" x14ac:dyDescent="0.2">
      <c r="B1169" s="7"/>
    </row>
    <row r="1170" spans="2:2" x14ac:dyDescent="0.2">
      <c r="B1170" s="7"/>
    </row>
    <row r="1171" spans="2:2" x14ac:dyDescent="0.2">
      <c r="B1171" s="7"/>
    </row>
    <row r="1172" spans="2:2" x14ac:dyDescent="0.2">
      <c r="B1172" s="7"/>
    </row>
    <row r="1173" spans="2:2" x14ac:dyDescent="0.2">
      <c r="B1173" s="7"/>
    </row>
    <row r="1174" spans="2:2" x14ac:dyDescent="0.2">
      <c r="B1174" s="7"/>
    </row>
    <row r="1175" spans="2:2" x14ac:dyDescent="0.2">
      <c r="B1175" s="7"/>
    </row>
    <row r="1176" spans="2:2" x14ac:dyDescent="0.2">
      <c r="B1176" s="7"/>
    </row>
    <row r="1177" spans="2:2" x14ac:dyDescent="0.2">
      <c r="B1177" s="7"/>
    </row>
    <row r="1178" spans="2:2" x14ac:dyDescent="0.2">
      <c r="B1178" s="7"/>
    </row>
    <row r="1179" spans="2:2" x14ac:dyDescent="0.2">
      <c r="B1179" s="7"/>
    </row>
    <row r="1180" spans="2:2" x14ac:dyDescent="0.2">
      <c r="B1180" s="7"/>
    </row>
    <row r="1181" spans="2:2" x14ac:dyDescent="0.2">
      <c r="B1181" s="7"/>
    </row>
    <row r="1182" spans="2:2" x14ac:dyDescent="0.2">
      <c r="B1182" s="7"/>
    </row>
    <row r="1183" spans="2:2" x14ac:dyDescent="0.2">
      <c r="B1183" s="7"/>
    </row>
    <row r="1184" spans="2:2" x14ac:dyDescent="0.2">
      <c r="B1184" s="7"/>
    </row>
    <row r="1185" spans="2:2" x14ac:dyDescent="0.2">
      <c r="B1185" s="7"/>
    </row>
    <row r="1186" spans="2:2" x14ac:dyDescent="0.2">
      <c r="B1186" s="7"/>
    </row>
    <row r="1187" spans="2:2" x14ac:dyDescent="0.2">
      <c r="B1187" s="7"/>
    </row>
    <row r="1188" spans="2:2" x14ac:dyDescent="0.2">
      <c r="B1188" s="7"/>
    </row>
    <row r="1189" spans="2:2" x14ac:dyDescent="0.2">
      <c r="B1189" s="7"/>
    </row>
    <row r="1190" spans="2:2" x14ac:dyDescent="0.2">
      <c r="B1190" s="7"/>
    </row>
    <row r="1191" spans="2:2" x14ac:dyDescent="0.2">
      <c r="B1191" s="7"/>
    </row>
    <row r="1192" spans="2:2" x14ac:dyDescent="0.2">
      <c r="B1192" s="7"/>
    </row>
    <row r="1193" spans="2:2" x14ac:dyDescent="0.2">
      <c r="B1193" s="7"/>
    </row>
    <row r="1194" spans="2:2" x14ac:dyDescent="0.2">
      <c r="B1194" s="7"/>
    </row>
    <row r="1195" spans="2:2" x14ac:dyDescent="0.2">
      <c r="B1195" s="7"/>
    </row>
    <row r="1196" spans="2:2" x14ac:dyDescent="0.2">
      <c r="B1196" s="7"/>
    </row>
    <row r="1197" spans="2:2" x14ac:dyDescent="0.2">
      <c r="B1197" s="7"/>
    </row>
    <row r="1198" spans="2:2" x14ac:dyDescent="0.2">
      <c r="B1198" s="7"/>
    </row>
    <row r="1199" spans="2:2" x14ac:dyDescent="0.2">
      <c r="B1199" s="7"/>
    </row>
    <row r="1200" spans="2:2" x14ac:dyDescent="0.2">
      <c r="B1200" s="7"/>
    </row>
    <row r="1201" spans="2:2" x14ac:dyDescent="0.2">
      <c r="B1201" s="7"/>
    </row>
    <row r="1202" spans="2:2" x14ac:dyDescent="0.2">
      <c r="B1202" s="7"/>
    </row>
    <row r="1203" spans="2:2" x14ac:dyDescent="0.2">
      <c r="B1203" s="7"/>
    </row>
    <row r="1204" spans="2:2" x14ac:dyDescent="0.2">
      <c r="B1204" s="7"/>
    </row>
    <row r="1205" spans="2:2" x14ac:dyDescent="0.2">
      <c r="B1205" s="7"/>
    </row>
    <row r="1206" spans="2:2" x14ac:dyDescent="0.2">
      <c r="B1206" s="7"/>
    </row>
    <row r="1207" spans="2:2" x14ac:dyDescent="0.2">
      <c r="B1207" s="7"/>
    </row>
    <row r="1208" spans="2:2" x14ac:dyDescent="0.2">
      <c r="B1208" s="7"/>
    </row>
    <row r="1209" spans="2:2" x14ac:dyDescent="0.2">
      <c r="B1209" s="7"/>
    </row>
    <row r="1210" spans="2:2" x14ac:dyDescent="0.2">
      <c r="B1210" s="7"/>
    </row>
    <row r="1211" spans="2:2" x14ac:dyDescent="0.2">
      <c r="B1211" s="7"/>
    </row>
    <row r="1212" spans="2:2" x14ac:dyDescent="0.2">
      <c r="B1212" s="7"/>
    </row>
    <row r="1213" spans="2:2" x14ac:dyDescent="0.2">
      <c r="B1213" s="7"/>
    </row>
    <row r="1214" spans="2:2" x14ac:dyDescent="0.2">
      <c r="B1214" s="7"/>
    </row>
    <row r="1215" spans="2:2" x14ac:dyDescent="0.2">
      <c r="B1215" s="7"/>
    </row>
    <row r="1216" spans="2:2" x14ac:dyDescent="0.2">
      <c r="B1216" s="7"/>
    </row>
    <row r="1217" spans="2:2" x14ac:dyDescent="0.2">
      <c r="B1217" s="7"/>
    </row>
    <row r="1218" spans="2:2" x14ac:dyDescent="0.2">
      <c r="B1218" s="7"/>
    </row>
    <row r="1219" spans="2:2" x14ac:dyDescent="0.2">
      <c r="B1219" s="7"/>
    </row>
    <row r="1220" spans="2:2" x14ac:dyDescent="0.2">
      <c r="B1220" s="7"/>
    </row>
    <row r="1221" spans="2:2" x14ac:dyDescent="0.2">
      <c r="B1221" s="7"/>
    </row>
    <row r="1222" spans="2:2" x14ac:dyDescent="0.2">
      <c r="B1222" s="7"/>
    </row>
    <row r="1223" spans="2:2" x14ac:dyDescent="0.2">
      <c r="B1223" s="7"/>
    </row>
    <row r="1224" spans="2:2" x14ac:dyDescent="0.2">
      <c r="B1224" s="7"/>
    </row>
    <row r="1225" spans="2:2" x14ac:dyDescent="0.2">
      <c r="B1225" s="7"/>
    </row>
    <row r="1226" spans="2:2" x14ac:dyDescent="0.2">
      <c r="B1226" s="7"/>
    </row>
    <row r="1227" spans="2:2" x14ac:dyDescent="0.2">
      <c r="B1227" s="7"/>
    </row>
    <row r="1228" spans="2:2" x14ac:dyDescent="0.2">
      <c r="B1228" s="7"/>
    </row>
    <row r="1229" spans="2:2" x14ac:dyDescent="0.2">
      <c r="B1229" s="7"/>
    </row>
    <row r="1230" spans="2:2" x14ac:dyDescent="0.2">
      <c r="B1230" s="7"/>
    </row>
    <row r="1231" spans="2:2" x14ac:dyDescent="0.2">
      <c r="B1231" s="7"/>
    </row>
    <row r="1232" spans="2:2" x14ac:dyDescent="0.2">
      <c r="B1232" s="7"/>
    </row>
    <row r="1233" spans="2:2" x14ac:dyDescent="0.2">
      <c r="B1233" s="7"/>
    </row>
    <row r="1234" spans="2:2" x14ac:dyDescent="0.2">
      <c r="B1234" s="7"/>
    </row>
    <row r="1235" spans="2:2" x14ac:dyDescent="0.2">
      <c r="B1235" s="7"/>
    </row>
    <row r="1236" spans="2:2" x14ac:dyDescent="0.2">
      <c r="B1236" s="7"/>
    </row>
    <row r="1237" spans="2:2" x14ac:dyDescent="0.2">
      <c r="B1237" s="7"/>
    </row>
    <row r="1238" spans="2:2" x14ac:dyDescent="0.2">
      <c r="B1238" s="7"/>
    </row>
    <row r="1239" spans="2:2" x14ac:dyDescent="0.2">
      <c r="B1239" s="7"/>
    </row>
    <row r="1240" spans="2:2" x14ac:dyDescent="0.2">
      <c r="B1240" s="7"/>
    </row>
    <row r="1241" spans="2:2" x14ac:dyDescent="0.2">
      <c r="B1241" s="7"/>
    </row>
    <row r="1242" spans="2:2" x14ac:dyDescent="0.2">
      <c r="B1242" s="7"/>
    </row>
    <row r="1243" spans="2:2" x14ac:dyDescent="0.2">
      <c r="B1243" s="7"/>
    </row>
    <row r="1244" spans="2:2" x14ac:dyDescent="0.2">
      <c r="B1244" s="7"/>
    </row>
    <row r="1245" spans="2:2" x14ac:dyDescent="0.2">
      <c r="B1245" s="7"/>
    </row>
    <row r="1246" spans="2:2" x14ac:dyDescent="0.2">
      <c r="B1246" s="7"/>
    </row>
    <row r="1247" spans="2:2" x14ac:dyDescent="0.2">
      <c r="B1247" s="7"/>
    </row>
    <row r="1248" spans="2:2" x14ac:dyDescent="0.2">
      <c r="B1248" s="7"/>
    </row>
    <row r="1249" spans="2:2" x14ac:dyDescent="0.2">
      <c r="B1249" s="7"/>
    </row>
    <row r="1250" spans="2:2" x14ac:dyDescent="0.2">
      <c r="B1250" s="7"/>
    </row>
    <row r="1251" spans="2:2" x14ac:dyDescent="0.2">
      <c r="B1251" s="7"/>
    </row>
    <row r="1252" spans="2:2" x14ac:dyDescent="0.2">
      <c r="B1252" s="7"/>
    </row>
    <row r="1253" spans="2:2" x14ac:dyDescent="0.2">
      <c r="B1253" s="7"/>
    </row>
    <row r="1254" spans="2:2" x14ac:dyDescent="0.2">
      <c r="B1254" s="7"/>
    </row>
    <row r="1255" spans="2:2" x14ac:dyDescent="0.2">
      <c r="B1255" s="7"/>
    </row>
    <row r="1256" spans="2:2" x14ac:dyDescent="0.2">
      <c r="B1256" s="7"/>
    </row>
    <row r="1257" spans="2:2" x14ac:dyDescent="0.2">
      <c r="B1257" s="7"/>
    </row>
    <row r="1258" spans="2:2" x14ac:dyDescent="0.2">
      <c r="B1258" s="7"/>
    </row>
    <row r="1259" spans="2:2" x14ac:dyDescent="0.2">
      <c r="B1259" s="7"/>
    </row>
    <row r="1260" spans="2:2" x14ac:dyDescent="0.2">
      <c r="B1260" s="7"/>
    </row>
    <row r="1261" spans="2:2" x14ac:dyDescent="0.2">
      <c r="B1261" s="7"/>
    </row>
    <row r="1262" spans="2:2" x14ac:dyDescent="0.2">
      <c r="B1262" s="7"/>
    </row>
    <row r="1263" spans="2:2" x14ac:dyDescent="0.2">
      <c r="B1263" s="7"/>
    </row>
    <row r="1264" spans="2:2" x14ac:dyDescent="0.2">
      <c r="B1264" s="7"/>
    </row>
    <row r="1265" spans="2:2" x14ac:dyDescent="0.2">
      <c r="B1265" s="7"/>
    </row>
    <row r="1266" spans="2:2" x14ac:dyDescent="0.2">
      <c r="B1266" s="7"/>
    </row>
    <row r="1267" spans="2:2" x14ac:dyDescent="0.2">
      <c r="B1267" s="7"/>
    </row>
    <row r="1268" spans="2:2" x14ac:dyDescent="0.2">
      <c r="B1268" s="7"/>
    </row>
    <row r="1269" spans="2:2" x14ac:dyDescent="0.2">
      <c r="B1269" s="7"/>
    </row>
    <row r="1270" spans="2:2" x14ac:dyDescent="0.2">
      <c r="B1270" s="7"/>
    </row>
    <row r="1271" spans="2:2" x14ac:dyDescent="0.2">
      <c r="B1271" s="7"/>
    </row>
    <row r="1272" spans="2:2" x14ac:dyDescent="0.2">
      <c r="B1272" s="7"/>
    </row>
    <row r="1273" spans="2:2" x14ac:dyDescent="0.2">
      <c r="B1273" s="7"/>
    </row>
    <row r="1274" spans="2:2" x14ac:dyDescent="0.2">
      <c r="B1274" s="7"/>
    </row>
    <row r="1275" spans="2:2" x14ac:dyDescent="0.2">
      <c r="B1275" s="7"/>
    </row>
    <row r="1276" spans="2:2" x14ac:dyDescent="0.2">
      <c r="B1276" s="7"/>
    </row>
    <row r="1277" spans="2:2" x14ac:dyDescent="0.2">
      <c r="B1277" s="7"/>
    </row>
    <row r="1278" spans="2:2" x14ac:dyDescent="0.2">
      <c r="B1278" s="7"/>
    </row>
    <row r="1279" spans="2:2" x14ac:dyDescent="0.2">
      <c r="B1279" s="7"/>
    </row>
    <row r="1280" spans="2:2" x14ac:dyDescent="0.2">
      <c r="B1280" s="7"/>
    </row>
    <row r="1281" spans="2:2" x14ac:dyDescent="0.2">
      <c r="B1281" s="7"/>
    </row>
    <row r="1282" spans="2:2" x14ac:dyDescent="0.2">
      <c r="B1282" s="7"/>
    </row>
    <row r="1283" spans="2:2" x14ac:dyDescent="0.2">
      <c r="B1283" s="7"/>
    </row>
    <row r="1284" spans="2:2" x14ac:dyDescent="0.2">
      <c r="B1284" s="7"/>
    </row>
    <row r="1285" spans="2:2" x14ac:dyDescent="0.2">
      <c r="B1285" s="7"/>
    </row>
    <row r="1286" spans="2:2" x14ac:dyDescent="0.2">
      <c r="B1286" s="7"/>
    </row>
    <row r="1287" spans="2:2" x14ac:dyDescent="0.2">
      <c r="B1287" s="7"/>
    </row>
    <row r="1288" spans="2:2" x14ac:dyDescent="0.2">
      <c r="B1288" s="7"/>
    </row>
    <row r="1289" spans="2:2" x14ac:dyDescent="0.2">
      <c r="B1289" s="7"/>
    </row>
    <row r="1290" spans="2:2" x14ac:dyDescent="0.2">
      <c r="B1290" s="7"/>
    </row>
    <row r="1291" spans="2:2" x14ac:dyDescent="0.2">
      <c r="B1291" s="7"/>
    </row>
    <row r="1292" spans="2:2" x14ac:dyDescent="0.2">
      <c r="B1292" s="7"/>
    </row>
    <row r="1293" spans="2:2" x14ac:dyDescent="0.2">
      <c r="B1293" s="7"/>
    </row>
    <row r="1294" spans="2:2" x14ac:dyDescent="0.2">
      <c r="B1294" s="7"/>
    </row>
    <row r="1295" spans="2:2" x14ac:dyDescent="0.2">
      <c r="B1295" s="7"/>
    </row>
    <row r="1296" spans="2:2" x14ac:dyDescent="0.2">
      <c r="B1296" s="7"/>
    </row>
    <row r="1297" spans="2:2" x14ac:dyDescent="0.2">
      <c r="B1297" s="7"/>
    </row>
    <row r="1298" spans="2:2" x14ac:dyDescent="0.2">
      <c r="B1298" s="7"/>
    </row>
    <row r="1299" spans="2:2" x14ac:dyDescent="0.2">
      <c r="B1299" s="7"/>
    </row>
    <row r="1300" spans="2:2" x14ac:dyDescent="0.2">
      <c r="B1300" s="7"/>
    </row>
    <row r="1301" spans="2:2" x14ac:dyDescent="0.2">
      <c r="B1301" s="7"/>
    </row>
    <row r="1302" spans="2:2" x14ac:dyDescent="0.2">
      <c r="B1302" s="7"/>
    </row>
    <row r="1303" spans="2:2" x14ac:dyDescent="0.2">
      <c r="B1303" s="7"/>
    </row>
    <row r="1304" spans="2:2" x14ac:dyDescent="0.2">
      <c r="B1304" s="7"/>
    </row>
    <row r="1305" spans="2:2" x14ac:dyDescent="0.2">
      <c r="B1305" s="7"/>
    </row>
    <row r="1306" spans="2:2" x14ac:dyDescent="0.2">
      <c r="B1306" s="7"/>
    </row>
    <row r="1307" spans="2:2" x14ac:dyDescent="0.2">
      <c r="B1307" s="7"/>
    </row>
    <row r="1308" spans="2:2" x14ac:dyDescent="0.2">
      <c r="B1308" s="7"/>
    </row>
    <row r="1309" spans="2:2" x14ac:dyDescent="0.2">
      <c r="B1309" s="7"/>
    </row>
    <row r="1310" spans="2:2" x14ac:dyDescent="0.2">
      <c r="B1310" s="7"/>
    </row>
    <row r="1311" spans="2:2" x14ac:dyDescent="0.2">
      <c r="B1311" s="7"/>
    </row>
    <row r="1312" spans="2:2" x14ac:dyDescent="0.2">
      <c r="B1312" s="7"/>
    </row>
    <row r="1313" spans="2:2" x14ac:dyDescent="0.2">
      <c r="B1313" s="7"/>
    </row>
    <row r="1314" spans="2:2" x14ac:dyDescent="0.2">
      <c r="B1314" s="7"/>
    </row>
    <row r="1315" spans="2:2" x14ac:dyDescent="0.2">
      <c r="B1315" s="7"/>
    </row>
    <row r="1316" spans="2:2" x14ac:dyDescent="0.2">
      <c r="B1316" s="7"/>
    </row>
    <row r="1317" spans="2:2" x14ac:dyDescent="0.2">
      <c r="B1317" s="7"/>
    </row>
    <row r="1318" spans="2:2" x14ac:dyDescent="0.2">
      <c r="B1318" s="7"/>
    </row>
    <row r="1319" spans="2:2" x14ac:dyDescent="0.2">
      <c r="B1319" s="7"/>
    </row>
    <row r="1320" spans="2:2" x14ac:dyDescent="0.2">
      <c r="B1320" s="7"/>
    </row>
    <row r="1321" spans="2:2" x14ac:dyDescent="0.2">
      <c r="B1321" s="7"/>
    </row>
    <row r="1322" spans="2:2" x14ac:dyDescent="0.2">
      <c r="B1322" s="7"/>
    </row>
    <row r="1323" spans="2:2" x14ac:dyDescent="0.2">
      <c r="B1323" s="7"/>
    </row>
    <row r="1324" spans="2:2" x14ac:dyDescent="0.2">
      <c r="B1324" s="7"/>
    </row>
    <row r="1325" spans="2:2" x14ac:dyDescent="0.2">
      <c r="B1325" s="7"/>
    </row>
    <row r="1326" spans="2:2" x14ac:dyDescent="0.2">
      <c r="B1326" s="7"/>
    </row>
    <row r="1327" spans="2:2" x14ac:dyDescent="0.2">
      <c r="B1327" s="7"/>
    </row>
    <row r="1328" spans="2:2" x14ac:dyDescent="0.2">
      <c r="B1328" s="7"/>
    </row>
    <row r="1329" spans="2:2" x14ac:dyDescent="0.2">
      <c r="B1329" s="7"/>
    </row>
    <row r="1330" spans="2:2" x14ac:dyDescent="0.2">
      <c r="B1330" s="7"/>
    </row>
    <row r="1331" spans="2:2" x14ac:dyDescent="0.2">
      <c r="B1331" s="7"/>
    </row>
    <row r="1332" spans="2:2" x14ac:dyDescent="0.2">
      <c r="B1332" s="7"/>
    </row>
    <row r="1333" spans="2:2" x14ac:dyDescent="0.2">
      <c r="B1333" s="7"/>
    </row>
    <row r="1334" spans="2:2" x14ac:dyDescent="0.2">
      <c r="B1334" s="7"/>
    </row>
    <row r="1335" spans="2:2" x14ac:dyDescent="0.2">
      <c r="B1335" s="7"/>
    </row>
    <row r="1336" spans="2:2" x14ac:dyDescent="0.2">
      <c r="B1336" s="7"/>
    </row>
    <row r="1337" spans="2:2" x14ac:dyDescent="0.2">
      <c r="B1337" s="7"/>
    </row>
    <row r="1338" spans="2:2" x14ac:dyDescent="0.2">
      <c r="B1338" s="7"/>
    </row>
    <row r="1339" spans="2:2" x14ac:dyDescent="0.2">
      <c r="B1339" s="7"/>
    </row>
    <row r="1340" spans="2:2" x14ac:dyDescent="0.2">
      <c r="B1340" s="7"/>
    </row>
    <row r="1341" spans="2:2" x14ac:dyDescent="0.2">
      <c r="B1341" s="7"/>
    </row>
    <row r="1342" spans="2:2" x14ac:dyDescent="0.2">
      <c r="B1342" s="7"/>
    </row>
    <row r="1343" spans="2:2" x14ac:dyDescent="0.2">
      <c r="B1343" s="7"/>
    </row>
    <row r="1344" spans="2:2" x14ac:dyDescent="0.2">
      <c r="B1344" s="7"/>
    </row>
    <row r="1345" spans="2:2" x14ac:dyDescent="0.2">
      <c r="B1345" s="7"/>
    </row>
    <row r="1346" spans="2:2" x14ac:dyDescent="0.2">
      <c r="B1346" s="7"/>
    </row>
    <row r="1347" spans="2:2" x14ac:dyDescent="0.2">
      <c r="B1347" s="7"/>
    </row>
    <row r="1348" spans="2:2" x14ac:dyDescent="0.2">
      <c r="B1348" s="7"/>
    </row>
    <row r="1349" spans="2:2" x14ac:dyDescent="0.2">
      <c r="B1349" s="7"/>
    </row>
    <row r="1350" spans="2:2" x14ac:dyDescent="0.2">
      <c r="B1350" s="7"/>
    </row>
    <row r="1351" spans="2:2" x14ac:dyDescent="0.2">
      <c r="B1351" s="7"/>
    </row>
    <row r="1352" spans="2:2" x14ac:dyDescent="0.2">
      <c r="B1352" s="7"/>
    </row>
    <row r="1353" spans="2:2" x14ac:dyDescent="0.2">
      <c r="B1353" s="7"/>
    </row>
    <row r="1354" spans="2:2" x14ac:dyDescent="0.2">
      <c r="B1354" s="7"/>
    </row>
    <row r="1355" spans="2:2" x14ac:dyDescent="0.2">
      <c r="B1355" s="7"/>
    </row>
    <row r="1356" spans="2:2" x14ac:dyDescent="0.2">
      <c r="B1356" s="7"/>
    </row>
    <row r="1357" spans="2:2" x14ac:dyDescent="0.2">
      <c r="B1357" s="7"/>
    </row>
    <row r="1358" spans="2:2" x14ac:dyDescent="0.2">
      <c r="B1358" s="7"/>
    </row>
    <row r="1359" spans="2:2" x14ac:dyDescent="0.2">
      <c r="B1359" s="7"/>
    </row>
    <row r="1360" spans="2:2" x14ac:dyDescent="0.2">
      <c r="B1360" s="7"/>
    </row>
    <row r="1361" spans="2:2" x14ac:dyDescent="0.2">
      <c r="B1361" s="7"/>
    </row>
    <row r="1362" spans="2:2" x14ac:dyDescent="0.2">
      <c r="B1362" s="7"/>
    </row>
    <row r="1363" spans="2:2" x14ac:dyDescent="0.2">
      <c r="B1363" s="7"/>
    </row>
    <row r="1364" spans="2:2" x14ac:dyDescent="0.2">
      <c r="B1364" s="7"/>
    </row>
    <row r="1365" spans="2:2" x14ac:dyDescent="0.2">
      <c r="B1365" s="7"/>
    </row>
    <row r="1366" spans="2:2" x14ac:dyDescent="0.2">
      <c r="B1366" s="7"/>
    </row>
    <row r="1367" spans="2:2" x14ac:dyDescent="0.2">
      <c r="B1367" s="7"/>
    </row>
    <row r="1368" spans="2:2" x14ac:dyDescent="0.2">
      <c r="B1368" s="7"/>
    </row>
    <row r="1369" spans="2:2" x14ac:dyDescent="0.2">
      <c r="B1369" s="7"/>
    </row>
    <row r="1370" spans="2:2" x14ac:dyDescent="0.2">
      <c r="B1370" s="7"/>
    </row>
    <row r="1371" spans="2:2" x14ac:dyDescent="0.2">
      <c r="B1371" s="7"/>
    </row>
    <row r="1372" spans="2:2" x14ac:dyDescent="0.2">
      <c r="B1372" s="7"/>
    </row>
    <row r="1373" spans="2:2" x14ac:dyDescent="0.2">
      <c r="B1373" s="7"/>
    </row>
    <row r="1374" spans="2:2" x14ac:dyDescent="0.2">
      <c r="B1374" s="7"/>
    </row>
    <row r="1375" spans="2:2" x14ac:dyDescent="0.2">
      <c r="B1375" s="7"/>
    </row>
    <row r="1376" spans="2:2" x14ac:dyDescent="0.2">
      <c r="B1376" s="7"/>
    </row>
    <row r="1377" spans="2:2" x14ac:dyDescent="0.2">
      <c r="B1377" s="7"/>
    </row>
    <row r="1378" spans="2:2" x14ac:dyDescent="0.2">
      <c r="B1378" s="7"/>
    </row>
    <row r="1379" spans="2:2" x14ac:dyDescent="0.2">
      <c r="B1379" s="7"/>
    </row>
    <row r="1380" spans="2:2" x14ac:dyDescent="0.2">
      <c r="B1380" s="7"/>
    </row>
    <row r="1381" spans="2:2" x14ac:dyDescent="0.2">
      <c r="B1381" s="7"/>
    </row>
    <row r="1382" spans="2:2" x14ac:dyDescent="0.2">
      <c r="B1382" s="7"/>
    </row>
    <row r="1383" spans="2:2" x14ac:dyDescent="0.2">
      <c r="B1383" s="7"/>
    </row>
    <row r="1384" spans="2:2" x14ac:dyDescent="0.2">
      <c r="B1384" s="7"/>
    </row>
    <row r="1385" spans="2:2" x14ac:dyDescent="0.2">
      <c r="B1385" s="7"/>
    </row>
    <row r="1386" spans="2:2" x14ac:dyDescent="0.2">
      <c r="B1386" s="7"/>
    </row>
    <row r="1387" spans="2:2" x14ac:dyDescent="0.2">
      <c r="B1387" s="7"/>
    </row>
    <row r="1388" spans="2:2" x14ac:dyDescent="0.2">
      <c r="B1388" s="7"/>
    </row>
    <row r="1389" spans="2:2" x14ac:dyDescent="0.2">
      <c r="B1389" s="7"/>
    </row>
    <row r="1390" spans="2:2" x14ac:dyDescent="0.2">
      <c r="B1390" s="7"/>
    </row>
    <row r="1391" spans="2:2" x14ac:dyDescent="0.2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2.75" x14ac:dyDescent="0.2"/>
  <cols>
    <col min="1" max="1" width="5.85546875" style="14" bestFit="1" customWidth="1"/>
    <col min="2" max="2" width="10.42578125" customWidth="1"/>
    <col min="3" max="3" width="12.5703125" customWidth="1"/>
    <col min="4" max="4" width="17.42578125" customWidth="1"/>
    <col min="5" max="5" width="12.140625" customWidth="1"/>
    <col min="6" max="6" width="17.7109375" customWidth="1"/>
    <col min="7" max="7" width="9.5703125" customWidth="1"/>
    <col min="8" max="8" width="17.42578125" customWidth="1"/>
  </cols>
  <sheetData>
    <row r="1" spans="1:8" x14ac:dyDescent="0.2">
      <c r="C1" s="4" t="s">
        <v>88</v>
      </c>
    </row>
    <row r="2" spans="1:8" x14ac:dyDescent="0.2">
      <c r="C2" s="4" t="s">
        <v>89</v>
      </c>
    </row>
    <row r="3" spans="1:8" x14ac:dyDescent="0.2">
      <c r="C3" s="4"/>
    </row>
    <row r="4" spans="1:8" x14ac:dyDescent="0.2">
      <c r="B4" s="12" t="s">
        <v>82</v>
      </c>
      <c r="C4" s="4"/>
      <c r="D4" s="99">
        <f>B61</f>
        <v>43735</v>
      </c>
    </row>
    <row r="5" spans="1:8" x14ac:dyDescent="0.2">
      <c r="C5" s="4"/>
    </row>
    <row r="6" spans="1:8" ht="13.5" thickBot="1" x14ac:dyDescent="0.25"/>
    <row r="7" spans="1:8" x14ac:dyDescent="0.2">
      <c r="A7" s="59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5" thickBot="1" x14ac:dyDescent="0.25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5" x14ac:dyDescent="0.25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5" x14ac:dyDescent="0.25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5" x14ac:dyDescent="0.25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5" x14ac:dyDescent="0.25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5" x14ac:dyDescent="0.25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5" x14ac:dyDescent="0.25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5" x14ac:dyDescent="0.25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5" x14ac:dyDescent="0.25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5" x14ac:dyDescent="0.25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5" x14ac:dyDescent="0.25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5" x14ac:dyDescent="0.25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5" x14ac:dyDescent="0.25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5" x14ac:dyDescent="0.25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5" x14ac:dyDescent="0.25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5" x14ac:dyDescent="0.25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5" x14ac:dyDescent="0.25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5" x14ac:dyDescent="0.25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5" x14ac:dyDescent="0.25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5" x14ac:dyDescent="0.25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5" x14ac:dyDescent="0.25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5" x14ac:dyDescent="0.25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5" x14ac:dyDescent="0.25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5" x14ac:dyDescent="0.25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5" x14ac:dyDescent="0.25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5" x14ac:dyDescent="0.25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5" x14ac:dyDescent="0.25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5" x14ac:dyDescent="0.25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5" x14ac:dyDescent="0.25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5" x14ac:dyDescent="0.25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5" x14ac:dyDescent="0.25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5" x14ac:dyDescent="0.25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5" x14ac:dyDescent="0.25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5" x14ac:dyDescent="0.25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5" x14ac:dyDescent="0.25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5" x14ac:dyDescent="0.25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5" x14ac:dyDescent="0.25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5" x14ac:dyDescent="0.25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5" x14ac:dyDescent="0.25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5" x14ac:dyDescent="0.25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5" x14ac:dyDescent="0.25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5" x14ac:dyDescent="0.25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5" x14ac:dyDescent="0.25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5" x14ac:dyDescent="0.25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5" x14ac:dyDescent="0.25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5" x14ac:dyDescent="0.25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5" x14ac:dyDescent="0.25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5" x14ac:dyDescent="0.25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5" x14ac:dyDescent="0.25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5" x14ac:dyDescent="0.25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5" x14ac:dyDescent="0.25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5" x14ac:dyDescent="0.25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.75" thickBot="1" x14ac:dyDescent="0.3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">
      <c r="B62" s="7"/>
      <c r="D62" s="3"/>
    </row>
    <row r="63" spans="1:8" x14ac:dyDescent="0.2">
      <c r="B63" s="7"/>
    </row>
    <row r="64" spans="1:8" x14ac:dyDescent="0.2">
      <c r="B64" s="7"/>
    </row>
    <row r="65" spans="2:3" x14ac:dyDescent="0.2">
      <c r="B65" s="7"/>
    </row>
    <row r="66" spans="2:3" x14ac:dyDescent="0.2">
      <c r="B66" s="7"/>
      <c r="C66" s="5"/>
    </row>
    <row r="67" spans="2:3" x14ac:dyDescent="0.2">
      <c r="B67" s="7"/>
      <c r="C67" s="5"/>
    </row>
    <row r="68" spans="2:3" x14ac:dyDescent="0.2">
      <c r="B68" s="7"/>
    </row>
    <row r="69" spans="2:3" x14ac:dyDescent="0.2">
      <c r="B69" s="7"/>
    </row>
    <row r="70" spans="2:3" x14ac:dyDescent="0.2">
      <c r="B70" s="7"/>
    </row>
    <row r="71" spans="2:3" x14ac:dyDescent="0.2">
      <c r="B71" s="7"/>
    </row>
    <row r="72" spans="2:3" x14ac:dyDescent="0.2">
      <c r="B72" s="7"/>
    </row>
    <row r="73" spans="2:3" x14ac:dyDescent="0.2">
      <c r="B73" s="7"/>
    </row>
    <row r="74" spans="2:3" x14ac:dyDescent="0.2">
      <c r="B74" s="7"/>
    </row>
    <row r="75" spans="2:3" x14ac:dyDescent="0.2">
      <c r="B75" s="7"/>
    </row>
    <row r="76" spans="2:3" x14ac:dyDescent="0.2">
      <c r="B76" s="7"/>
    </row>
    <row r="77" spans="2:3" x14ac:dyDescent="0.2">
      <c r="B77" s="7"/>
    </row>
    <row r="78" spans="2:3" x14ac:dyDescent="0.2">
      <c r="B78" s="7"/>
    </row>
    <row r="79" spans="2:3" x14ac:dyDescent="0.2">
      <c r="B79" s="7"/>
    </row>
    <row r="80" spans="2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2:2" x14ac:dyDescent="0.2">
      <c r="B513" s="7"/>
    </row>
    <row r="514" spans="2:2" x14ac:dyDescent="0.2">
      <c r="B514" s="7"/>
    </row>
    <row r="515" spans="2:2" x14ac:dyDescent="0.2">
      <c r="B515" s="7"/>
    </row>
    <row r="516" spans="2:2" x14ac:dyDescent="0.2">
      <c r="B516" s="7"/>
    </row>
    <row r="517" spans="2:2" x14ac:dyDescent="0.2">
      <c r="B517" s="7"/>
    </row>
    <row r="518" spans="2:2" x14ac:dyDescent="0.2">
      <c r="B518" s="7"/>
    </row>
    <row r="519" spans="2:2" x14ac:dyDescent="0.2">
      <c r="B519" s="7"/>
    </row>
    <row r="520" spans="2:2" x14ac:dyDescent="0.2">
      <c r="B520" s="7"/>
    </row>
    <row r="521" spans="2:2" x14ac:dyDescent="0.2">
      <c r="B521" s="7"/>
    </row>
    <row r="522" spans="2:2" x14ac:dyDescent="0.2">
      <c r="B522" s="7"/>
    </row>
    <row r="523" spans="2:2" x14ac:dyDescent="0.2">
      <c r="B523" s="7"/>
    </row>
    <row r="524" spans="2:2" x14ac:dyDescent="0.2">
      <c r="B524" s="7"/>
    </row>
    <row r="525" spans="2:2" x14ac:dyDescent="0.2">
      <c r="B525" s="7"/>
    </row>
    <row r="526" spans="2:2" x14ac:dyDescent="0.2">
      <c r="B526" s="7"/>
    </row>
    <row r="527" spans="2:2" x14ac:dyDescent="0.2">
      <c r="B527" s="7"/>
    </row>
    <row r="528" spans="2:2" x14ac:dyDescent="0.2">
      <c r="B528" s="7"/>
    </row>
    <row r="529" spans="2:2" x14ac:dyDescent="0.2">
      <c r="B529" s="7"/>
    </row>
    <row r="530" spans="2:2" x14ac:dyDescent="0.2">
      <c r="B530" s="7"/>
    </row>
    <row r="531" spans="2:2" x14ac:dyDescent="0.2">
      <c r="B531" s="7"/>
    </row>
    <row r="532" spans="2:2" x14ac:dyDescent="0.2">
      <c r="B532" s="7"/>
    </row>
    <row r="533" spans="2:2" x14ac:dyDescent="0.2">
      <c r="B533" s="7"/>
    </row>
    <row r="534" spans="2:2" x14ac:dyDescent="0.2">
      <c r="B534" s="7"/>
    </row>
    <row r="535" spans="2:2" x14ac:dyDescent="0.2">
      <c r="B535" s="7"/>
    </row>
    <row r="536" spans="2:2" x14ac:dyDescent="0.2">
      <c r="B536" s="7"/>
    </row>
    <row r="537" spans="2:2" x14ac:dyDescent="0.2">
      <c r="B537" s="7"/>
    </row>
    <row r="538" spans="2:2" x14ac:dyDescent="0.2">
      <c r="B538" s="7"/>
    </row>
    <row r="539" spans="2:2" x14ac:dyDescent="0.2">
      <c r="B539" s="7"/>
    </row>
    <row r="540" spans="2:2" x14ac:dyDescent="0.2">
      <c r="B540" s="7"/>
    </row>
    <row r="541" spans="2:2" x14ac:dyDescent="0.2">
      <c r="B541" s="7"/>
    </row>
    <row r="542" spans="2:2" x14ac:dyDescent="0.2">
      <c r="B542" s="7"/>
    </row>
    <row r="543" spans="2:2" x14ac:dyDescent="0.2">
      <c r="B543" s="7"/>
    </row>
    <row r="544" spans="2:2" x14ac:dyDescent="0.2">
      <c r="B544" s="7"/>
    </row>
    <row r="545" spans="2:2" x14ac:dyDescent="0.2">
      <c r="B545" s="7"/>
    </row>
    <row r="546" spans="2:2" x14ac:dyDescent="0.2">
      <c r="B546" s="7"/>
    </row>
    <row r="547" spans="2:2" x14ac:dyDescent="0.2">
      <c r="B547" s="7"/>
    </row>
    <row r="548" spans="2:2" x14ac:dyDescent="0.2">
      <c r="B548" s="7"/>
    </row>
    <row r="549" spans="2:2" x14ac:dyDescent="0.2">
      <c r="B549" s="7"/>
    </row>
    <row r="550" spans="2:2" x14ac:dyDescent="0.2">
      <c r="B550" s="7"/>
    </row>
    <row r="551" spans="2:2" x14ac:dyDescent="0.2">
      <c r="B551" s="7"/>
    </row>
    <row r="552" spans="2:2" x14ac:dyDescent="0.2">
      <c r="B552" s="7"/>
    </row>
    <row r="553" spans="2:2" x14ac:dyDescent="0.2">
      <c r="B553" s="7"/>
    </row>
    <row r="554" spans="2:2" x14ac:dyDescent="0.2">
      <c r="B554" s="7"/>
    </row>
    <row r="555" spans="2:2" x14ac:dyDescent="0.2">
      <c r="B555" s="7"/>
    </row>
    <row r="556" spans="2:2" x14ac:dyDescent="0.2">
      <c r="B556" s="7"/>
    </row>
    <row r="557" spans="2:2" x14ac:dyDescent="0.2">
      <c r="B557" s="7"/>
    </row>
    <row r="558" spans="2:2" x14ac:dyDescent="0.2">
      <c r="B558" s="7"/>
    </row>
    <row r="559" spans="2:2" x14ac:dyDescent="0.2">
      <c r="B559" s="7"/>
    </row>
    <row r="560" spans="2:2" x14ac:dyDescent="0.2">
      <c r="B560" s="7"/>
    </row>
    <row r="561" spans="2:2" x14ac:dyDescent="0.2">
      <c r="B561" s="7"/>
    </row>
    <row r="562" spans="2:2" x14ac:dyDescent="0.2">
      <c r="B562" s="7"/>
    </row>
    <row r="563" spans="2:2" x14ac:dyDescent="0.2">
      <c r="B563" s="7"/>
    </row>
    <row r="564" spans="2:2" x14ac:dyDescent="0.2">
      <c r="B564" s="7"/>
    </row>
    <row r="565" spans="2:2" x14ac:dyDescent="0.2">
      <c r="B565" s="7"/>
    </row>
    <row r="566" spans="2:2" x14ac:dyDescent="0.2">
      <c r="B566" s="7"/>
    </row>
    <row r="567" spans="2:2" x14ac:dyDescent="0.2">
      <c r="B567" s="7"/>
    </row>
    <row r="568" spans="2:2" x14ac:dyDescent="0.2">
      <c r="B568" s="7"/>
    </row>
    <row r="569" spans="2:2" x14ac:dyDescent="0.2">
      <c r="B569" s="7"/>
    </row>
    <row r="570" spans="2:2" x14ac:dyDescent="0.2">
      <c r="B570" s="7"/>
    </row>
    <row r="571" spans="2:2" x14ac:dyDescent="0.2">
      <c r="B571" s="7"/>
    </row>
    <row r="572" spans="2:2" x14ac:dyDescent="0.2">
      <c r="B572" s="7"/>
    </row>
    <row r="573" spans="2:2" x14ac:dyDescent="0.2">
      <c r="B573" s="7"/>
    </row>
    <row r="574" spans="2:2" x14ac:dyDescent="0.2">
      <c r="B574" s="7"/>
    </row>
    <row r="575" spans="2:2" x14ac:dyDescent="0.2">
      <c r="B575" s="7"/>
    </row>
    <row r="576" spans="2:2" x14ac:dyDescent="0.2">
      <c r="B576" s="7"/>
    </row>
    <row r="577" spans="2:2" x14ac:dyDescent="0.2">
      <c r="B577" s="7"/>
    </row>
    <row r="578" spans="2:2" x14ac:dyDescent="0.2">
      <c r="B578" s="7"/>
    </row>
    <row r="579" spans="2:2" x14ac:dyDescent="0.2">
      <c r="B579" s="7"/>
    </row>
    <row r="580" spans="2:2" x14ac:dyDescent="0.2">
      <c r="B580" s="7"/>
    </row>
    <row r="581" spans="2:2" x14ac:dyDescent="0.2">
      <c r="B581" s="7"/>
    </row>
    <row r="582" spans="2:2" x14ac:dyDescent="0.2">
      <c r="B582" s="7"/>
    </row>
    <row r="583" spans="2:2" x14ac:dyDescent="0.2">
      <c r="B583" s="7"/>
    </row>
    <row r="584" spans="2:2" x14ac:dyDescent="0.2">
      <c r="B584" s="7"/>
    </row>
    <row r="585" spans="2:2" x14ac:dyDescent="0.2">
      <c r="B585" s="7"/>
    </row>
    <row r="586" spans="2:2" x14ac:dyDescent="0.2">
      <c r="B586" s="7"/>
    </row>
    <row r="587" spans="2:2" x14ac:dyDescent="0.2">
      <c r="B587" s="7"/>
    </row>
    <row r="588" spans="2:2" x14ac:dyDescent="0.2">
      <c r="B588" s="7"/>
    </row>
    <row r="589" spans="2:2" x14ac:dyDescent="0.2">
      <c r="B589" s="7"/>
    </row>
    <row r="590" spans="2:2" x14ac:dyDescent="0.2">
      <c r="B590" s="7"/>
    </row>
    <row r="591" spans="2:2" x14ac:dyDescent="0.2">
      <c r="B591" s="7"/>
    </row>
    <row r="592" spans="2:2" x14ac:dyDescent="0.2">
      <c r="B592" s="7"/>
    </row>
    <row r="593" spans="2:2" x14ac:dyDescent="0.2">
      <c r="B593" s="7"/>
    </row>
    <row r="594" spans="2:2" x14ac:dyDescent="0.2">
      <c r="B594" s="7"/>
    </row>
    <row r="595" spans="2:2" x14ac:dyDescent="0.2">
      <c r="B595" s="7"/>
    </row>
    <row r="596" spans="2:2" x14ac:dyDescent="0.2">
      <c r="B596" s="7"/>
    </row>
    <row r="597" spans="2:2" x14ac:dyDescent="0.2">
      <c r="B597" s="7"/>
    </row>
    <row r="598" spans="2:2" x14ac:dyDescent="0.2">
      <c r="B598" s="7"/>
    </row>
    <row r="599" spans="2:2" x14ac:dyDescent="0.2">
      <c r="B599" s="7"/>
    </row>
    <row r="600" spans="2:2" x14ac:dyDescent="0.2">
      <c r="B600" s="7"/>
    </row>
    <row r="601" spans="2:2" x14ac:dyDescent="0.2">
      <c r="B601" s="7"/>
    </row>
    <row r="602" spans="2:2" x14ac:dyDescent="0.2">
      <c r="B602" s="7"/>
    </row>
    <row r="603" spans="2:2" x14ac:dyDescent="0.2">
      <c r="B603" s="7"/>
    </row>
    <row r="604" spans="2:2" x14ac:dyDescent="0.2">
      <c r="B604" s="7"/>
    </row>
    <row r="605" spans="2:2" x14ac:dyDescent="0.2">
      <c r="B605" s="7"/>
    </row>
    <row r="606" spans="2:2" x14ac:dyDescent="0.2">
      <c r="B606" s="7"/>
    </row>
    <row r="607" spans="2:2" x14ac:dyDescent="0.2">
      <c r="B607" s="7"/>
    </row>
    <row r="608" spans="2:2" x14ac:dyDescent="0.2">
      <c r="B608" s="7"/>
    </row>
    <row r="609" spans="2:2" x14ac:dyDescent="0.2">
      <c r="B609" s="7"/>
    </row>
    <row r="610" spans="2:2" x14ac:dyDescent="0.2">
      <c r="B610" s="7"/>
    </row>
    <row r="611" spans="2:2" x14ac:dyDescent="0.2">
      <c r="B611" s="7"/>
    </row>
    <row r="612" spans="2:2" x14ac:dyDescent="0.2">
      <c r="B612" s="7"/>
    </row>
    <row r="613" spans="2:2" x14ac:dyDescent="0.2">
      <c r="B613" s="7"/>
    </row>
    <row r="614" spans="2:2" x14ac:dyDescent="0.2">
      <c r="B614" s="7"/>
    </row>
    <row r="615" spans="2:2" x14ac:dyDescent="0.2">
      <c r="B615" s="7"/>
    </row>
    <row r="616" spans="2:2" x14ac:dyDescent="0.2">
      <c r="B616" s="7"/>
    </row>
    <row r="617" spans="2:2" x14ac:dyDescent="0.2">
      <c r="B617" s="7"/>
    </row>
    <row r="618" spans="2:2" x14ac:dyDescent="0.2">
      <c r="B618" s="7"/>
    </row>
    <row r="619" spans="2:2" x14ac:dyDescent="0.2">
      <c r="B619" s="7"/>
    </row>
    <row r="620" spans="2:2" x14ac:dyDescent="0.2">
      <c r="B620" s="7"/>
    </row>
    <row r="621" spans="2:2" x14ac:dyDescent="0.2">
      <c r="B621" s="7"/>
    </row>
    <row r="622" spans="2:2" x14ac:dyDescent="0.2">
      <c r="B622" s="7"/>
    </row>
    <row r="623" spans="2:2" x14ac:dyDescent="0.2">
      <c r="B623" s="7"/>
    </row>
    <row r="624" spans="2:2" x14ac:dyDescent="0.2">
      <c r="B624" s="7"/>
    </row>
    <row r="625" spans="2:2" x14ac:dyDescent="0.2">
      <c r="B625" s="7"/>
    </row>
    <row r="626" spans="2:2" x14ac:dyDescent="0.2">
      <c r="B626" s="7"/>
    </row>
    <row r="627" spans="2:2" x14ac:dyDescent="0.2">
      <c r="B627" s="7"/>
    </row>
    <row r="628" spans="2:2" x14ac:dyDescent="0.2">
      <c r="B628" s="7"/>
    </row>
    <row r="629" spans="2:2" x14ac:dyDescent="0.2">
      <c r="B629" s="7"/>
    </row>
    <row r="630" spans="2:2" x14ac:dyDescent="0.2">
      <c r="B630" s="7"/>
    </row>
    <row r="631" spans="2:2" x14ac:dyDescent="0.2">
      <c r="B631" s="7"/>
    </row>
    <row r="632" spans="2:2" x14ac:dyDescent="0.2">
      <c r="B632" s="7"/>
    </row>
    <row r="633" spans="2:2" x14ac:dyDescent="0.2">
      <c r="B633" s="7"/>
    </row>
    <row r="634" spans="2:2" x14ac:dyDescent="0.2">
      <c r="B634" s="7"/>
    </row>
    <row r="635" spans="2:2" x14ac:dyDescent="0.2">
      <c r="B635" s="7"/>
    </row>
    <row r="636" spans="2:2" x14ac:dyDescent="0.2">
      <c r="B636" s="7"/>
    </row>
    <row r="637" spans="2:2" x14ac:dyDescent="0.2">
      <c r="B637" s="7"/>
    </row>
    <row r="638" spans="2:2" x14ac:dyDescent="0.2">
      <c r="B638" s="7"/>
    </row>
    <row r="639" spans="2:2" x14ac:dyDescent="0.2">
      <c r="B639" s="7"/>
    </row>
    <row r="640" spans="2:2" x14ac:dyDescent="0.2">
      <c r="B640" s="7"/>
    </row>
    <row r="641" spans="2:2" x14ac:dyDescent="0.2">
      <c r="B641" s="7"/>
    </row>
    <row r="642" spans="2:2" x14ac:dyDescent="0.2">
      <c r="B642" s="7"/>
    </row>
    <row r="643" spans="2:2" x14ac:dyDescent="0.2">
      <c r="B643" s="7"/>
    </row>
    <row r="644" spans="2:2" x14ac:dyDescent="0.2">
      <c r="B644" s="7"/>
    </row>
    <row r="645" spans="2:2" x14ac:dyDescent="0.2">
      <c r="B645" s="7"/>
    </row>
    <row r="646" spans="2:2" x14ac:dyDescent="0.2">
      <c r="B646" s="7"/>
    </row>
    <row r="647" spans="2:2" x14ac:dyDescent="0.2">
      <c r="B647" s="7"/>
    </row>
    <row r="648" spans="2:2" x14ac:dyDescent="0.2">
      <c r="B648" s="7"/>
    </row>
    <row r="649" spans="2:2" x14ac:dyDescent="0.2">
      <c r="B649" s="7"/>
    </row>
    <row r="650" spans="2:2" x14ac:dyDescent="0.2">
      <c r="B650" s="7"/>
    </row>
    <row r="651" spans="2:2" x14ac:dyDescent="0.2">
      <c r="B651" s="7"/>
    </row>
    <row r="652" spans="2:2" x14ac:dyDescent="0.2">
      <c r="B652" s="7"/>
    </row>
    <row r="653" spans="2:2" x14ac:dyDescent="0.2">
      <c r="B653" s="7"/>
    </row>
    <row r="654" spans="2:2" x14ac:dyDescent="0.2">
      <c r="B654" s="7"/>
    </row>
    <row r="655" spans="2:2" x14ac:dyDescent="0.2">
      <c r="B655" s="7"/>
    </row>
    <row r="656" spans="2:2" x14ac:dyDescent="0.2">
      <c r="B656" s="7"/>
    </row>
    <row r="657" spans="2:2" x14ac:dyDescent="0.2">
      <c r="B657" s="7"/>
    </row>
    <row r="658" spans="2:2" x14ac:dyDescent="0.2">
      <c r="B658" s="7"/>
    </row>
    <row r="659" spans="2:2" x14ac:dyDescent="0.2">
      <c r="B659" s="7"/>
    </row>
    <row r="660" spans="2:2" x14ac:dyDescent="0.2">
      <c r="B660" s="7"/>
    </row>
    <row r="661" spans="2:2" x14ac:dyDescent="0.2">
      <c r="B661" s="7"/>
    </row>
    <row r="662" spans="2:2" x14ac:dyDescent="0.2">
      <c r="B662" s="7"/>
    </row>
    <row r="663" spans="2:2" x14ac:dyDescent="0.2">
      <c r="B663" s="7"/>
    </row>
    <row r="664" spans="2:2" x14ac:dyDescent="0.2">
      <c r="B664" s="7"/>
    </row>
    <row r="665" spans="2:2" x14ac:dyDescent="0.2">
      <c r="B665" s="7"/>
    </row>
    <row r="666" spans="2:2" x14ac:dyDescent="0.2">
      <c r="B666" s="7"/>
    </row>
    <row r="667" spans="2:2" x14ac:dyDescent="0.2">
      <c r="B667" s="7"/>
    </row>
    <row r="668" spans="2:2" x14ac:dyDescent="0.2">
      <c r="B668" s="7"/>
    </row>
    <row r="669" spans="2:2" x14ac:dyDescent="0.2">
      <c r="B669" s="7"/>
    </row>
    <row r="670" spans="2:2" x14ac:dyDescent="0.2">
      <c r="B670" s="7"/>
    </row>
    <row r="671" spans="2:2" x14ac:dyDescent="0.2">
      <c r="B671" s="7"/>
    </row>
    <row r="672" spans="2:2" x14ac:dyDescent="0.2">
      <c r="B672" s="7"/>
    </row>
    <row r="673" spans="2:2" x14ac:dyDescent="0.2">
      <c r="B673" s="7"/>
    </row>
    <row r="674" spans="2:2" x14ac:dyDescent="0.2">
      <c r="B674" s="7"/>
    </row>
    <row r="675" spans="2:2" x14ac:dyDescent="0.2">
      <c r="B675" s="7"/>
    </row>
    <row r="676" spans="2:2" x14ac:dyDescent="0.2">
      <c r="B676" s="7"/>
    </row>
    <row r="677" spans="2:2" x14ac:dyDescent="0.2">
      <c r="B677" s="7"/>
    </row>
    <row r="678" spans="2:2" x14ac:dyDescent="0.2">
      <c r="B678" s="7"/>
    </row>
    <row r="679" spans="2:2" x14ac:dyDescent="0.2">
      <c r="B679" s="7"/>
    </row>
    <row r="680" spans="2:2" x14ac:dyDescent="0.2">
      <c r="B680" s="7"/>
    </row>
    <row r="681" spans="2:2" x14ac:dyDescent="0.2">
      <c r="B681" s="7"/>
    </row>
    <row r="682" spans="2:2" x14ac:dyDescent="0.2">
      <c r="B682" s="7"/>
    </row>
    <row r="683" spans="2:2" x14ac:dyDescent="0.2">
      <c r="B683" s="7"/>
    </row>
    <row r="684" spans="2:2" x14ac:dyDescent="0.2">
      <c r="B684" s="7"/>
    </row>
    <row r="685" spans="2:2" x14ac:dyDescent="0.2">
      <c r="B685" s="7"/>
    </row>
    <row r="686" spans="2:2" x14ac:dyDescent="0.2">
      <c r="B686" s="7"/>
    </row>
    <row r="687" spans="2:2" x14ac:dyDescent="0.2">
      <c r="B687" s="7"/>
    </row>
    <row r="688" spans="2:2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  <row r="770" spans="2:2" x14ac:dyDescent="0.2">
      <c r="B770" s="7"/>
    </row>
    <row r="771" spans="2:2" x14ac:dyDescent="0.2">
      <c r="B771" s="7"/>
    </row>
    <row r="772" spans="2:2" x14ac:dyDescent="0.2">
      <c r="B772" s="7"/>
    </row>
    <row r="773" spans="2:2" x14ac:dyDescent="0.2">
      <c r="B773" s="7"/>
    </row>
    <row r="774" spans="2:2" x14ac:dyDescent="0.2">
      <c r="B774" s="7"/>
    </row>
    <row r="775" spans="2:2" x14ac:dyDescent="0.2">
      <c r="B775" s="7"/>
    </row>
    <row r="776" spans="2:2" x14ac:dyDescent="0.2">
      <c r="B776" s="7"/>
    </row>
    <row r="777" spans="2:2" x14ac:dyDescent="0.2">
      <c r="B777" s="7"/>
    </row>
    <row r="778" spans="2:2" x14ac:dyDescent="0.2">
      <c r="B778" s="7"/>
    </row>
    <row r="779" spans="2:2" x14ac:dyDescent="0.2">
      <c r="B779" s="7"/>
    </row>
    <row r="780" spans="2:2" x14ac:dyDescent="0.2">
      <c r="B780" s="7"/>
    </row>
    <row r="781" spans="2:2" x14ac:dyDescent="0.2">
      <c r="B781" s="7"/>
    </row>
    <row r="782" spans="2:2" x14ac:dyDescent="0.2">
      <c r="B782" s="7"/>
    </row>
    <row r="783" spans="2:2" x14ac:dyDescent="0.2">
      <c r="B783" s="7"/>
    </row>
    <row r="784" spans="2:2" x14ac:dyDescent="0.2">
      <c r="B784" s="7"/>
    </row>
    <row r="785" spans="2:2" x14ac:dyDescent="0.2">
      <c r="B785" s="7"/>
    </row>
    <row r="786" spans="2:2" x14ac:dyDescent="0.2">
      <c r="B786" s="7"/>
    </row>
    <row r="787" spans="2:2" x14ac:dyDescent="0.2">
      <c r="B787" s="7"/>
    </row>
    <row r="788" spans="2:2" x14ac:dyDescent="0.2">
      <c r="B788" s="7"/>
    </row>
    <row r="789" spans="2:2" x14ac:dyDescent="0.2">
      <c r="B789" s="7"/>
    </row>
    <row r="790" spans="2:2" x14ac:dyDescent="0.2">
      <c r="B790" s="7"/>
    </row>
    <row r="791" spans="2:2" x14ac:dyDescent="0.2">
      <c r="B791" s="7"/>
    </row>
    <row r="792" spans="2:2" x14ac:dyDescent="0.2">
      <c r="B792" s="7"/>
    </row>
    <row r="793" spans="2:2" x14ac:dyDescent="0.2">
      <c r="B793" s="7"/>
    </row>
    <row r="794" spans="2:2" x14ac:dyDescent="0.2">
      <c r="B794" s="7"/>
    </row>
    <row r="795" spans="2:2" x14ac:dyDescent="0.2">
      <c r="B795" s="7"/>
    </row>
    <row r="796" spans="2:2" x14ac:dyDescent="0.2">
      <c r="B796" s="7"/>
    </row>
    <row r="797" spans="2:2" x14ac:dyDescent="0.2">
      <c r="B797" s="7"/>
    </row>
    <row r="798" spans="2:2" x14ac:dyDescent="0.2">
      <c r="B798" s="7"/>
    </row>
    <row r="799" spans="2:2" x14ac:dyDescent="0.2">
      <c r="B799" s="7"/>
    </row>
    <row r="800" spans="2:2" x14ac:dyDescent="0.2">
      <c r="B800" s="7"/>
    </row>
    <row r="801" spans="2:2" x14ac:dyDescent="0.2">
      <c r="B801" s="7"/>
    </row>
    <row r="802" spans="2:2" x14ac:dyDescent="0.2">
      <c r="B802" s="7"/>
    </row>
    <row r="803" spans="2:2" x14ac:dyDescent="0.2">
      <c r="B803" s="7"/>
    </row>
    <row r="804" spans="2:2" x14ac:dyDescent="0.2">
      <c r="B804" s="7"/>
    </row>
    <row r="805" spans="2:2" x14ac:dyDescent="0.2">
      <c r="B805" s="7"/>
    </row>
    <row r="806" spans="2:2" x14ac:dyDescent="0.2">
      <c r="B806" s="7"/>
    </row>
    <row r="807" spans="2:2" x14ac:dyDescent="0.2">
      <c r="B807" s="7"/>
    </row>
    <row r="808" spans="2:2" x14ac:dyDescent="0.2">
      <c r="B808" s="7"/>
    </row>
    <row r="809" spans="2:2" x14ac:dyDescent="0.2">
      <c r="B809" s="7"/>
    </row>
    <row r="810" spans="2:2" x14ac:dyDescent="0.2">
      <c r="B810" s="7"/>
    </row>
    <row r="811" spans="2:2" x14ac:dyDescent="0.2">
      <c r="B811" s="7"/>
    </row>
    <row r="812" spans="2:2" x14ac:dyDescent="0.2">
      <c r="B812" s="7"/>
    </row>
    <row r="813" spans="2:2" x14ac:dyDescent="0.2">
      <c r="B813" s="7"/>
    </row>
    <row r="814" spans="2:2" x14ac:dyDescent="0.2">
      <c r="B814" s="7"/>
    </row>
    <row r="815" spans="2:2" x14ac:dyDescent="0.2">
      <c r="B815" s="7"/>
    </row>
    <row r="816" spans="2:2" x14ac:dyDescent="0.2">
      <c r="B816" s="7"/>
    </row>
    <row r="817" spans="2:2" x14ac:dyDescent="0.2">
      <c r="B817" s="7"/>
    </row>
    <row r="818" spans="2:2" x14ac:dyDescent="0.2">
      <c r="B818" s="7"/>
    </row>
    <row r="819" spans="2:2" x14ac:dyDescent="0.2">
      <c r="B819" s="7"/>
    </row>
    <row r="820" spans="2:2" x14ac:dyDescent="0.2">
      <c r="B820" s="7"/>
    </row>
    <row r="821" spans="2:2" x14ac:dyDescent="0.2">
      <c r="B821" s="7"/>
    </row>
    <row r="822" spans="2:2" x14ac:dyDescent="0.2">
      <c r="B822" s="7"/>
    </row>
    <row r="823" spans="2:2" x14ac:dyDescent="0.2">
      <c r="B823" s="7"/>
    </row>
    <row r="824" spans="2:2" x14ac:dyDescent="0.2">
      <c r="B824" s="7"/>
    </row>
    <row r="825" spans="2:2" x14ac:dyDescent="0.2">
      <c r="B825" s="7"/>
    </row>
    <row r="826" spans="2:2" x14ac:dyDescent="0.2">
      <c r="B826" s="7"/>
    </row>
    <row r="827" spans="2:2" x14ac:dyDescent="0.2">
      <c r="B827" s="7"/>
    </row>
    <row r="828" spans="2:2" x14ac:dyDescent="0.2">
      <c r="B828" s="7"/>
    </row>
    <row r="829" spans="2:2" x14ac:dyDescent="0.2">
      <c r="B829" s="7"/>
    </row>
    <row r="830" spans="2:2" x14ac:dyDescent="0.2">
      <c r="B830" s="7"/>
    </row>
    <row r="831" spans="2:2" x14ac:dyDescent="0.2">
      <c r="B831" s="7"/>
    </row>
    <row r="832" spans="2:2" x14ac:dyDescent="0.2">
      <c r="B832" s="7"/>
    </row>
    <row r="833" spans="2:2" x14ac:dyDescent="0.2">
      <c r="B833" s="7"/>
    </row>
    <row r="834" spans="2:2" x14ac:dyDescent="0.2">
      <c r="B834" s="7"/>
    </row>
    <row r="835" spans="2:2" x14ac:dyDescent="0.2">
      <c r="B835" s="7"/>
    </row>
    <row r="836" spans="2:2" x14ac:dyDescent="0.2">
      <c r="B836" s="7"/>
    </row>
    <row r="837" spans="2:2" x14ac:dyDescent="0.2">
      <c r="B837" s="7"/>
    </row>
    <row r="838" spans="2:2" x14ac:dyDescent="0.2">
      <c r="B838" s="7"/>
    </row>
    <row r="839" spans="2:2" x14ac:dyDescent="0.2">
      <c r="B839" s="7"/>
    </row>
    <row r="840" spans="2:2" x14ac:dyDescent="0.2">
      <c r="B840" s="7"/>
    </row>
    <row r="841" spans="2:2" x14ac:dyDescent="0.2">
      <c r="B841" s="7"/>
    </row>
    <row r="842" spans="2:2" x14ac:dyDescent="0.2">
      <c r="B842" s="7"/>
    </row>
    <row r="843" spans="2:2" x14ac:dyDescent="0.2">
      <c r="B843" s="7"/>
    </row>
    <row r="844" spans="2:2" x14ac:dyDescent="0.2">
      <c r="B844" s="7"/>
    </row>
    <row r="845" spans="2:2" x14ac:dyDescent="0.2">
      <c r="B845" s="7"/>
    </row>
    <row r="846" spans="2:2" x14ac:dyDescent="0.2">
      <c r="B846" s="7"/>
    </row>
    <row r="847" spans="2:2" x14ac:dyDescent="0.2">
      <c r="B847" s="7"/>
    </row>
    <row r="848" spans="2:2" x14ac:dyDescent="0.2">
      <c r="B848" s="7"/>
    </row>
    <row r="849" spans="2:2" x14ac:dyDescent="0.2">
      <c r="B849" s="7"/>
    </row>
    <row r="850" spans="2:2" x14ac:dyDescent="0.2">
      <c r="B850" s="7"/>
    </row>
    <row r="851" spans="2:2" x14ac:dyDescent="0.2">
      <c r="B851" s="7"/>
    </row>
    <row r="852" spans="2:2" x14ac:dyDescent="0.2">
      <c r="B852" s="7"/>
    </row>
    <row r="853" spans="2:2" x14ac:dyDescent="0.2">
      <c r="B853" s="7"/>
    </row>
    <row r="854" spans="2:2" x14ac:dyDescent="0.2">
      <c r="B854" s="7"/>
    </row>
    <row r="855" spans="2:2" x14ac:dyDescent="0.2">
      <c r="B855" s="7"/>
    </row>
    <row r="856" spans="2:2" x14ac:dyDescent="0.2">
      <c r="B856" s="7"/>
    </row>
    <row r="857" spans="2:2" x14ac:dyDescent="0.2">
      <c r="B857" s="7"/>
    </row>
    <row r="858" spans="2:2" x14ac:dyDescent="0.2">
      <c r="B858" s="7"/>
    </row>
    <row r="859" spans="2:2" x14ac:dyDescent="0.2">
      <c r="B859" s="7"/>
    </row>
    <row r="860" spans="2:2" x14ac:dyDescent="0.2">
      <c r="B860" s="7"/>
    </row>
    <row r="861" spans="2:2" x14ac:dyDescent="0.2">
      <c r="B861" s="7"/>
    </row>
    <row r="862" spans="2:2" x14ac:dyDescent="0.2">
      <c r="B862" s="7"/>
    </row>
    <row r="863" spans="2:2" x14ac:dyDescent="0.2">
      <c r="B863" s="7"/>
    </row>
    <row r="864" spans="2:2" x14ac:dyDescent="0.2">
      <c r="B864" s="7"/>
    </row>
    <row r="865" spans="2:2" x14ac:dyDescent="0.2">
      <c r="B865" s="7"/>
    </row>
    <row r="866" spans="2:2" x14ac:dyDescent="0.2">
      <c r="B866" s="7"/>
    </row>
    <row r="867" spans="2:2" x14ac:dyDescent="0.2">
      <c r="B867" s="7"/>
    </row>
    <row r="868" spans="2:2" x14ac:dyDescent="0.2">
      <c r="B868" s="7"/>
    </row>
    <row r="869" spans="2:2" x14ac:dyDescent="0.2">
      <c r="B869" s="7"/>
    </row>
    <row r="870" spans="2:2" x14ac:dyDescent="0.2">
      <c r="B870" s="7"/>
    </row>
    <row r="871" spans="2:2" x14ac:dyDescent="0.2">
      <c r="B871" s="7"/>
    </row>
    <row r="872" spans="2:2" x14ac:dyDescent="0.2">
      <c r="B872" s="7"/>
    </row>
    <row r="873" spans="2:2" x14ac:dyDescent="0.2">
      <c r="B873" s="7"/>
    </row>
    <row r="874" spans="2:2" x14ac:dyDescent="0.2">
      <c r="B874" s="7"/>
    </row>
    <row r="875" spans="2:2" x14ac:dyDescent="0.2">
      <c r="B875" s="7"/>
    </row>
    <row r="876" spans="2:2" x14ac:dyDescent="0.2">
      <c r="B876" s="7"/>
    </row>
    <row r="877" spans="2:2" x14ac:dyDescent="0.2">
      <c r="B877" s="7"/>
    </row>
    <row r="878" spans="2:2" x14ac:dyDescent="0.2">
      <c r="B878" s="7"/>
    </row>
    <row r="879" spans="2:2" x14ac:dyDescent="0.2">
      <c r="B879" s="7"/>
    </row>
    <row r="880" spans="2:2" x14ac:dyDescent="0.2">
      <c r="B880" s="7"/>
    </row>
    <row r="881" spans="2:2" x14ac:dyDescent="0.2">
      <c r="B881" s="7"/>
    </row>
    <row r="882" spans="2:2" x14ac:dyDescent="0.2">
      <c r="B882" s="7"/>
    </row>
    <row r="883" spans="2:2" x14ac:dyDescent="0.2">
      <c r="B883" s="7"/>
    </row>
    <row r="884" spans="2:2" x14ac:dyDescent="0.2">
      <c r="B884" s="7"/>
    </row>
    <row r="885" spans="2:2" x14ac:dyDescent="0.2">
      <c r="B885" s="7"/>
    </row>
    <row r="886" spans="2:2" x14ac:dyDescent="0.2">
      <c r="B886" s="7"/>
    </row>
    <row r="887" spans="2:2" x14ac:dyDescent="0.2">
      <c r="B887" s="7"/>
    </row>
    <row r="888" spans="2:2" x14ac:dyDescent="0.2">
      <c r="B888" s="7"/>
    </row>
    <row r="889" spans="2:2" x14ac:dyDescent="0.2">
      <c r="B889" s="7"/>
    </row>
    <row r="890" spans="2:2" x14ac:dyDescent="0.2">
      <c r="B890" s="7"/>
    </row>
    <row r="891" spans="2:2" x14ac:dyDescent="0.2">
      <c r="B891" s="7"/>
    </row>
    <row r="892" spans="2:2" x14ac:dyDescent="0.2">
      <c r="B892" s="7"/>
    </row>
    <row r="893" spans="2:2" x14ac:dyDescent="0.2">
      <c r="B893" s="7"/>
    </row>
    <row r="894" spans="2:2" x14ac:dyDescent="0.2">
      <c r="B894" s="7"/>
    </row>
    <row r="895" spans="2:2" x14ac:dyDescent="0.2">
      <c r="B895" s="7"/>
    </row>
    <row r="896" spans="2:2" x14ac:dyDescent="0.2">
      <c r="B896" s="7"/>
    </row>
    <row r="897" spans="2:2" x14ac:dyDescent="0.2">
      <c r="B897" s="7"/>
    </row>
    <row r="898" spans="2:2" x14ac:dyDescent="0.2">
      <c r="B898" s="7"/>
    </row>
    <row r="899" spans="2:2" x14ac:dyDescent="0.2">
      <c r="B899" s="7"/>
    </row>
    <row r="900" spans="2:2" x14ac:dyDescent="0.2">
      <c r="B900" s="7"/>
    </row>
    <row r="901" spans="2:2" x14ac:dyDescent="0.2">
      <c r="B901" s="7"/>
    </row>
    <row r="902" spans="2:2" x14ac:dyDescent="0.2">
      <c r="B902" s="7"/>
    </row>
    <row r="903" spans="2:2" x14ac:dyDescent="0.2">
      <c r="B903" s="7"/>
    </row>
    <row r="904" spans="2:2" x14ac:dyDescent="0.2">
      <c r="B904" s="7"/>
    </row>
    <row r="905" spans="2:2" x14ac:dyDescent="0.2">
      <c r="B905" s="7"/>
    </row>
    <row r="906" spans="2:2" x14ac:dyDescent="0.2">
      <c r="B906" s="7"/>
    </row>
    <row r="907" spans="2:2" x14ac:dyDescent="0.2">
      <c r="B907" s="7"/>
    </row>
    <row r="908" spans="2:2" x14ac:dyDescent="0.2">
      <c r="B908" s="7"/>
    </row>
    <row r="909" spans="2:2" x14ac:dyDescent="0.2">
      <c r="B909" s="7"/>
    </row>
    <row r="910" spans="2:2" x14ac:dyDescent="0.2">
      <c r="B910" s="7"/>
    </row>
    <row r="911" spans="2:2" x14ac:dyDescent="0.2">
      <c r="B911" s="7"/>
    </row>
    <row r="912" spans="2:2" x14ac:dyDescent="0.2">
      <c r="B912" s="7"/>
    </row>
    <row r="913" spans="2:2" x14ac:dyDescent="0.2">
      <c r="B913" s="7"/>
    </row>
    <row r="914" spans="2:2" x14ac:dyDescent="0.2">
      <c r="B914" s="7"/>
    </row>
    <row r="915" spans="2:2" x14ac:dyDescent="0.2">
      <c r="B915" s="7"/>
    </row>
    <row r="916" spans="2:2" x14ac:dyDescent="0.2">
      <c r="B916" s="7"/>
    </row>
    <row r="917" spans="2:2" x14ac:dyDescent="0.2">
      <c r="B917" s="7"/>
    </row>
    <row r="918" spans="2:2" x14ac:dyDescent="0.2">
      <c r="B918" s="7"/>
    </row>
    <row r="919" spans="2:2" x14ac:dyDescent="0.2">
      <c r="B919" s="7"/>
    </row>
    <row r="920" spans="2:2" x14ac:dyDescent="0.2">
      <c r="B920" s="7"/>
    </row>
    <row r="921" spans="2:2" x14ac:dyDescent="0.2">
      <c r="B921" s="7"/>
    </row>
    <row r="922" spans="2:2" x14ac:dyDescent="0.2">
      <c r="B922" s="7"/>
    </row>
    <row r="923" spans="2:2" x14ac:dyDescent="0.2">
      <c r="B923" s="7"/>
    </row>
    <row r="924" spans="2:2" x14ac:dyDescent="0.2">
      <c r="B924" s="7"/>
    </row>
    <row r="925" spans="2:2" x14ac:dyDescent="0.2">
      <c r="B925" s="7"/>
    </row>
    <row r="926" spans="2:2" x14ac:dyDescent="0.2">
      <c r="B926" s="7"/>
    </row>
    <row r="927" spans="2:2" x14ac:dyDescent="0.2">
      <c r="B927" s="7"/>
    </row>
    <row r="928" spans="2:2" x14ac:dyDescent="0.2">
      <c r="B928" s="7"/>
    </row>
    <row r="929" spans="2:2" x14ac:dyDescent="0.2">
      <c r="B929" s="7"/>
    </row>
    <row r="930" spans="2:2" x14ac:dyDescent="0.2">
      <c r="B930" s="7"/>
    </row>
    <row r="931" spans="2:2" x14ac:dyDescent="0.2">
      <c r="B931" s="7"/>
    </row>
    <row r="932" spans="2:2" x14ac:dyDescent="0.2">
      <c r="B932" s="7"/>
    </row>
    <row r="933" spans="2:2" x14ac:dyDescent="0.2">
      <c r="B933" s="7"/>
    </row>
    <row r="934" spans="2:2" x14ac:dyDescent="0.2">
      <c r="B934" s="7"/>
    </row>
    <row r="935" spans="2:2" x14ac:dyDescent="0.2">
      <c r="B935" s="7"/>
    </row>
    <row r="936" spans="2:2" x14ac:dyDescent="0.2">
      <c r="B936" s="7"/>
    </row>
    <row r="937" spans="2:2" x14ac:dyDescent="0.2">
      <c r="B937" s="7"/>
    </row>
    <row r="938" spans="2:2" x14ac:dyDescent="0.2">
      <c r="B938" s="7"/>
    </row>
    <row r="939" spans="2:2" x14ac:dyDescent="0.2">
      <c r="B939" s="7"/>
    </row>
    <row r="940" spans="2:2" x14ac:dyDescent="0.2">
      <c r="B940" s="7"/>
    </row>
    <row r="941" spans="2:2" x14ac:dyDescent="0.2">
      <c r="B941" s="7"/>
    </row>
    <row r="942" spans="2:2" x14ac:dyDescent="0.2">
      <c r="B942" s="7"/>
    </row>
    <row r="943" spans="2:2" x14ac:dyDescent="0.2">
      <c r="B943" s="7"/>
    </row>
    <row r="944" spans="2:2" x14ac:dyDescent="0.2">
      <c r="B944" s="7"/>
    </row>
    <row r="945" spans="2:2" x14ac:dyDescent="0.2">
      <c r="B945" s="7"/>
    </row>
    <row r="946" spans="2:2" x14ac:dyDescent="0.2">
      <c r="B946" s="7"/>
    </row>
    <row r="947" spans="2:2" x14ac:dyDescent="0.2">
      <c r="B947" s="7"/>
    </row>
    <row r="948" spans="2:2" x14ac:dyDescent="0.2">
      <c r="B948" s="7"/>
    </row>
    <row r="949" spans="2:2" x14ac:dyDescent="0.2">
      <c r="B949" s="7"/>
    </row>
    <row r="950" spans="2:2" x14ac:dyDescent="0.2">
      <c r="B950" s="7"/>
    </row>
    <row r="951" spans="2:2" x14ac:dyDescent="0.2">
      <c r="B951" s="7"/>
    </row>
    <row r="952" spans="2:2" x14ac:dyDescent="0.2">
      <c r="B952" s="7"/>
    </row>
    <row r="953" spans="2:2" x14ac:dyDescent="0.2">
      <c r="B953" s="7"/>
    </row>
    <row r="954" spans="2:2" x14ac:dyDescent="0.2">
      <c r="B954" s="7"/>
    </row>
    <row r="955" spans="2:2" x14ac:dyDescent="0.2">
      <c r="B955" s="7"/>
    </row>
    <row r="956" spans="2:2" x14ac:dyDescent="0.2">
      <c r="B956" s="7"/>
    </row>
    <row r="957" spans="2:2" x14ac:dyDescent="0.2">
      <c r="B957" s="7"/>
    </row>
    <row r="958" spans="2:2" x14ac:dyDescent="0.2">
      <c r="B958" s="7"/>
    </row>
    <row r="959" spans="2:2" x14ac:dyDescent="0.2">
      <c r="B959" s="7"/>
    </row>
    <row r="960" spans="2:2" x14ac:dyDescent="0.2">
      <c r="B960" s="7"/>
    </row>
    <row r="961" spans="2:2" x14ac:dyDescent="0.2">
      <c r="B961" s="7"/>
    </row>
    <row r="962" spans="2:2" x14ac:dyDescent="0.2">
      <c r="B962" s="7"/>
    </row>
    <row r="963" spans="2:2" x14ac:dyDescent="0.2">
      <c r="B963" s="7"/>
    </row>
    <row r="964" spans="2:2" x14ac:dyDescent="0.2">
      <c r="B964" s="7"/>
    </row>
    <row r="965" spans="2:2" x14ac:dyDescent="0.2">
      <c r="B965" s="7"/>
    </row>
    <row r="966" spans="2:2" x14ac:dyDescent="0.2">
      <c r="B966" s="7"/>
    </row>
    <row r="967" spans="2:2" x14ac:dyDescent="0.2">
      <c r="B967" s="7"/>
    </row>
    <row r="968" spans="2:2" x14ac:dyDescent="0.2">
      <c r="B968" s="7"/>
    </row>
    <row r="969" spans="2:2" x14ac:dyDescent="0.2">
      <c r="B969" s="7"/>
    </row>
    <row r="970" spans="2:2" x14ac:dyDescent="0.2">
      <c r="B970" s="7"/>
    </row>
    <row r="971" spans="2:2" x14ac:dyDescent="0.2">
      <c r="B971" s="7"/>
    </row>
    <row r="972" spans="2:2" x14ac:dyDescent="0.2">
      <c r="B972" s="7"/>
    </row>
    <row r="973" spans="2:2" x14ac:dyDescent="0.2">
      <c r="B973" s="7"/>
    </row>
    <row r="974" spans="2:2" x14ac:dyDescent="0.2">
      <c r="B974" s="7"/>
    </row>
    <row r="975" spans="2:2" x14ac:dyDescent="0.2">
      <c r="B975" s="7"/>
    </row>
    <row r="976" spans="2:2" x14ac:dyDescent="0.2">
      <c r="B976" s="7"/>
    </row>
    <row r="977" spans="2:2" x14ac:dyDescent="0.2">
      <c r="B977" s="7"/>
    </row>
    <row r="978" spans="2:2" x14ac:dyDescent="0.2">
      <c r="B978" s="7"/>
    </row>
    <row r="979" spans="2:2" x14ac:dyDescent="0.2">
      <c r="B979" s="7"/>
    </row>
    <row r="980" spans="2:2" x14ac:dyDescent="0.2">
      <c r="B980" s="7"/>
    </row>
    <row r="981" spans="2:2" x14ac:dyDescent="0.2">
      <c r="B981" s="7"/>
    </row>
    <row r="982" spans="2:2" x14ac:dyDescent="0.2">
      <c r="B982" s="7"/>
    </row>
    <row r="983" spans="2:2" x14ac:dyDescent="0.2">
      <c r="B983" s="7"/>
    </row>
    <row r="984" spans="2:2" x14ac:dyDescent="0.2">
      <c r="B984" s="7"/>
    </row>
    <row r="985" spans="2:2" x14ac:dyDescent="0.2">
      <c r="B985" s="7"/>
    </row>
    <row r="986" spans="2:2" x14ac:dyDescent="0.2">
      <c r="B986" s="7"/>
    </row>
    <row r="987" spans="2:2" x14ac:dyDescent="0.2">
      <c r="B987" s="7"/>
    </row>
    <row r="988" spans="2:2" x14ac:dyDescent="0.2">
      <c r="B988" s="7"/>
    </row>
    <row r="989" spans="2:2" x14ac:dyDescent="0.2">
      <c r="B989" s="7"/>
    </row>
    <row r="990" spans="2:2" x14ac:dyDescent="0.2">
      <c r="B990" s="7"/>
    </row>
    <row r="991" spans="2:2" x14ac:dyDescent="0.2">
      <c r="B991" s="7"/>
    </row>
    <row r="992" spans="2:2" x14ac:dyDescent="0.2">
      <c r="B992" s="7"/>
    </row>
    <row r="993" spans="2:2" x14ac:dyDescent="0.2">
      <c r="B993" s="7"/>
    </row>
    <row r="994" spans="2:2" x14ac:dyDescent="0.2">
      <c r="B994" s="7"/>
    </row>
    <row r="995" spans="2:2" x14ac:dyDescent="0.2">
      <c r="B995" s="7"/>
    </row>
    <row r="996" spans="2:2" x14ac:dyDescent="0.2">
      <c r="B996" s="7"/>
    </row>
    <row r="997" spans="2:2" x14ac:dyDescent="0.2">
      <c r="B997" s="7"/>
    </row>
    <row r="998" spans="2:2" x14ac:dyDescent="0.2">
      <c r="B998" s="7"/>
    </row>
    <row r="999" spans="2:2" x14ac:dyDescent="0.2">
      <c r="B999" s="7"/>
    </row>
    <row r="1000" spans="2:2" x14ac:dyDescent="0.2">
      <c r="B1000" s="7"/>
    </row>
    <row r="1001" spans="2:2" x14ac:dyDescent="0.2">
      <c r="B1001" s="7"/>
    </row>
    <row r="1002" spans="2:2" x14ac:dyDescent="0.2">
      <c r="B1002" s="7"/>
    </row>
    <row r="1003" spans="2:2" x14ac:dyDescent="0.2">
      <c r="B1003" s="7"/>
    </row>
    <row r="1004" spans="2:2" x14ac:dyDescent="0.2">
      <c r="B1004" s="7"/>
    </row>
    <row r="1005" spans="2:2" x14ac:dyDescent="0.2">
      <c r="B1005" s="7"/>
    </row>
    <row r="1006" spans="2:2" x14ac:dyDescent="0.2">
      <c r="B1006" s="7"/>
    </row>
    <row r="1007" spans="2:2" x14ac:dyDescent="0.2">
      <c r="B1007" s="7"/>
    </row>
    <row r="1008" spans="2:2" x14ac:dyDescent="0.2">
      <c r="B1008" s="7"/>
    </row>
    <row r="1009" spans="2:2" x14ac:dyDescent="0.2">
      <c r="B1009" s="7"/>
    </row>
    <row r="1010" spans="2:2" x14ac:dyDescent="0.2">
      <c r="B1010" s="7"/>
    </row>
    <row r="1011" spans="2:2" x14ac:dyDescent="0.2">
      <c r="B1011" s="7"/>
    </row>
    <row r="1012" spans="2:2" x14ac:dyDescent="0.2">
      <c r="B1012" s="7"/>
    </row>
    <row r="1013" spans="2:2" x14ac:dyDescent="0.2">
      <c r="B1013" s="7"/>
    </row>
    <row r="1014" spans="2:2" x14ac:dyDescent="0.2">
      <c r="B1014" s="7"/>
    </row>
    <row r="1015" spans="2:2" x14ac:dyDescent="0.2">
      <c r="B1015" s="7"/>
    </row>
    <row r="1016" spans="2:2" x14ac:dyDescent="0.2">
      <c r="B1016" s="7"/>
    </row>
    <row r="1017" spans="2:2" x14ac:dyDescent="0.2">
      <c r="B1017" s="7"/>
    </row>
    <row r="1018" spans="2:2" x14ac:dyDescent="0.2">
      <c r="B1018" s="7"/>
    </row>
    <row r="1019" spans="2:2" x14ac:dyDescent="0.2">
      <c r="B1019" s="7"/>
    </row>
    <row r="1020" spans="2:2" x14ac:dyDescent="0.2">
      <c r="B1020" s="7"/>
    </row>
    <row r="1021" spans="2:2" x14ac:dyDescent="0.2">
      <c r="B1021" s="7"/>
    </row>
    <row r="1022" spans="2:2" x14ac:dyDescent="0.2">
      <c r="B1022" s="7"/>
    </row>
    <row r="1023" spans="2:2" x14ac:dyDescent="0.2">
      <c r="B1023" s="7"/>
    </row>
    <row r="1024" spans="2:2" x14ac:dyDescent="0.2">
      <c r="B1024" s="7"/>
    </row>
    <row r="1025" spans="2:2" x14ac:dyDescent="0.2">
      <c r="B1025" s="7"/>
    </row>
    <row r="1026" spans="2:2" x14ac:dyDescent="0.2">
      <c r="B1026" s="7"/>
    </row>
    <row r="1027" spans="2:2" x14ac:dyDescent="0.2">
      <c r="B1027" s="7"/>
    </row>
    <row r="1028" spans="2:2" x14ac:dyDescent="0.2">
      <c r="B1028" s="7"/>
    </row>
    <row r="1029" spans="2:2" x14ac:dyDescent="0.2">
      <c r="B1029" s="7"/>
    </row>
    <row r="1030" spans="2:2" x14ac:dyDescent="0.2">
      <c r="B1030" s="7"/>
    </row>
    <row r="1031" spans="2:2" x14ac:dyDescent="0.2">
      <c r="B1031" s="7"/>
    </row>
    <row r="1032" spans="2:2" x14ac:dyDescent="0.2">
      <c r="B1032" s="7"/>
    </row>
    <row r="1033" spans="2:2" x14ac:dyDescent="0.2">
      <c r="B1033" s="7"/>
    </row>
    <row r="1034" spans="2:2" x14ac:dyDescent="0.2">
      <c r="B1034" s="7"/>
    </row>
    <row r="1035" spans="2:2" x14ac:dyDescent="0.2">
      <c r="B1035" s="7"/>
    </row>
    <row r="1036" spans="2:2" x14ac:dyDescent="0.2">
      <c r="B1036" s="7"/>
    </row>
    <row r="1037" spans="2:2" x14ac:dyDescent="0.2">
      <c r="B1037" s="7"/>
    </row>
    <row r="1038" spans="2:2" x14ac:dyDescent="0.2">
      <c r="B1038" s="7"/>
    </row>
    <row r="1039" spans="2:2" x14ac:dyDescent="0.2">
      <c r="B1039" s="7"/>
    </row>
    <row r="1040" spans="2:2" x14ac:dyDescent="0.2">
      <c r="B1040" s="7"/>
    </row>
    <row r="1041" spans="2:2" x14ac:dyDescent="0.2">
      <c r="B1041" s="7"/>
    </row>
    <row r="1042" spans="2:2" x14ac:dyDescent="0.2">
      <c r="B1042" s="7"/>
    </row>
    <row r="1043" spans="2:2" x14ac:dyDescent="0.2">
      <c r="B1043" s="7"/>
    </row>
    <row r="1044" spans="2:2" x14ac:dyDescent="0.2">
      <c r="B1044" s="7"/>
    </row>
    <row r="1045" spans="2:2" x14ac:dyDescent="0.2">
      <c r="B1045" s="7"/>
    </row>
    <row r="1046" spans="2:2" x14ac:dyDescent="0.2">
      <c r="B1046" s="7"/>
    </row>
    <row r="1047" spans="2:2" x14ac:dyDescent="0.2">
      <c r="B1047" s="7"/>
    </row>
    <row r="1048" spans="2:2" x14ac:dyDescent="0.2">
      <c r="B1048" s="7"/>
    </row>
    <row r="1049" spans="2:2" x14ac:dyDescent="0.2">
      <c r="B1049" s="7"/>
    </row>
    <row r="1050" spans="2:2" x14ac:dyDescent="0.2">
      <c r="B1050" s="7"/>
    </row>
    <row r="1051" spans="2:2" x14ac:dyDescent="0.2">
      <c r="B1051" s="7"/>
    </row>
    <row r="1052" spans="2:2" x14ac:dyDescent="0.2">
      <c r="B1052" s="7"/>
    </row>
    <row r="1053" spans="2:2" x14ac:dyDescent="0.2">
      <c r="B1053" s="7"/>
    </row>
    <row r="1054" spans="2:2" x14ac:dyDescent="0.2">
      <c r="B1054" s="7"/>
    </row>
    <row r="1055" spans="2:2" x14ac:dyDescent="0.2">
      <c r="B1055" s="7"/>
    </row>
    <row r="1056" spans="2:2" x14ac:dyDescent="0.2">
      <c r="B1056" s="7"/>
    </row>
    <row r="1057" spans="2:2" x14ac:dyDescent="0.2">
      <c r="B1057" s="7"/>
    </row>
    <row r="1058" spans="2:2" x14ac:dyDescent="0.2">
      <c r="B1058" s="7"/>
    </row>
    <row r="1059" spans="2:2" x14ac:dyDescent="0.2">
      <c r="B1059" s="7"/>
    </row>
    <row r="1060" spans="2:2" x14ac:dyDescent="0.2">
      <c r="B1060" s="7"/>
    </row>
    <row r="1061" spans="2:2" x14ac:dyDescent="0.2">
      <c r="B1061" s="7"/>
    </row>
    <row r="1062" spans="2:2" x14ac:dyDescent="0.2">
      <c r="B1062" s="7"/>
    </row>
    <row r="1063" spans="2:2" x14ac:dyDescent="0.2">
      <c r="B1063" s="7"/>
    </row>
    <row r="1064" spans="2:2" x14ac:dyDescent="0.2">
      <c r="B1064" s="7"/>
    </row>
    <row r="1065" spans="2:2" x14ac:dyDescent="0.2">
      <c r="B1065" s="7"/>
    </row>
    <row r="1066" spans="2:2" x14ac:dyDescent="0.2">
      <c r="B1066" s="7"/>
    </row>
    <row r="1067" spans="2:2" x14ac:dyDescent="0.2">
      <c r="B1067" s="7"/>
    </row>
    <row r="1068" spans="2:2" x14ac:dyDescent="0.2">
      <c r="B1068" s="7"/>
    </row>
    <row r="1069" spans="2:2" x14ac:dyDescent="0.2">
      <c r="B1069" s="7"/>
    </row>
    <row r="1070" spans="2:2" x14ac:dyDescent="0.2">
      <c r="B1070" s="7"/>
    </row>
    <row r="1071" spans="2:2" x14ac:dyDescent="0.2">
      <c r="B1071" s="7"/>
    </row>
    <row r="1072" spans="2:2" x14ac:dyDescent="0.2">
      <c r="B1072" s="7"/>
    </row>
    <row r="1073" spans="2:2" x14ac:dyDescent="0.2">
      <c r="B1073" s="7"/>
    </row>
    <row r="1074" spans="2:2" x14ac:dyDescent="0.2">
      <c r="B1074" s="7"/>
    </row>
    <row r="1075" spans="2:2" x14ac:dyDescent="0.2">
      <c r="B1075" s="7"/>
    </row>
    <row r="1076" spans="2:2" x14ac:dyDescent="0.2">
      <c r="B1076" s="7"/>
    </row>
    <row r="1077" spans="2:2" x14ac:dyDescent="0.2">
      <c r="B1077" s="7"/>
    </row>
    <row r="1078" spans="2:2" x14ac:dyDescent="0.2">
      <c r="B1078" s="7"/>
    </row>
    <row r="1079" spans="2:2" x14ac:dyDescent="0.2">
      <c r="B1079" s="7"/>
    </row>
    <row r="1080" spans="2:2" x14ac:dyDescent="0.2">
      <c r="B1080" s="7"/>
    </row>
    <row r="1081" spans="2:2" x14ac:dyDescent="0.2">
      <c r="B1081" s="7"/>
    </row>
    <row r="1082" spans="2:2" x14ac:dyDescent="0.2">
      <c r="B1082" s="7"/>
    </row>
    <row r="1083" spans="2:2" x14ac:dyDescent="0.2">
      <c r="B1083" s="7"/>
    </row>
    <row r="1084" spans="2:2" x14ac:dyDescent="0.2">
      <c r="B1084" s="7"/>
    </row>
    <row r="1085" spans="2:2" x14ac:dyDescent="0.2">
      <c r="B1085" s="7"/>
    </row>
    <row r="1086" spans="2:2" x14ac:dyDescent="0.2">
      <c r="B1086" s="7"/>
    </row>
    <row r="1087" spans="2:2" x14ac:dyDescent="0.2">
      <c r="B1087" s="7"/>
    </row>
    <row r="1088" spans="2:2" x14ac:dyDescent="0.2">
      <c r="B1088" s="7"/>
    </row>
    <row r="1089" spans="2:2" x14ac:dyDescent="0.2">
      <c r="B1089" s="7"/>
    </row>
    <row r="1090" spans="2:2" x14ac:dyDescent="0.2">
      <c r="B1090" s="7"/>
    </row>
    <row r="1091" spans="2:2" x14ac:dyDescent="0.2">
      <c r="B1091" s="7"/>
    </row>
    <row r="1092" spans="2:2" x14ac:dyDescent="0.2">
      <c r="B1092" s="7"/>
    </row>
    <row r="1093" spans="2:2" x14ac:dyDescent="0.2">
      <c r="B1093" s="7"/>
    </row>
    <row r="1094" spans="2:2" x14ac:dyDescent="0.2">
      <c r="B1094" s="7"/>
    </row>
    <row r="1095" spans="2:2" x14ac:dyDescent="0.2">
      <c r="B1095" s="7"/>
    </row>
    <row r="1096" spans="2:2" x14ac:dyDescent="0.2">
      <c r="B1096" s="7"/>
    </row>
    <row r="1097" spans="2:2" x14ac:dyDescent="0.2">
      <c r="B1097" s="7"/>
    </row>
    <row r="1098" spans="2:2" x14ac:dyDescent="0.2">
      <c r="B1098" s="7"/>
    </row>
    <row r="1099" spans="2:2" x14ac:dyDescent="0.2">
      <c r="B1099" s="7"/>
    </row>
    <row r="1100" spans="2:2" x14ac:dyDescent="0.2">
      <c r="B1100" s="7"/>
    </row>
    <row r="1101" spans="2:2" x14ac:dyDescent="0.2">
      <c r="B1101" s="7"/>
    </row>
    <row r="1102" spans="2:2" x14ac:dyDescent="0.2">
      <c r="B1102" s="7"/>
    </row>
    <row r="1103" spans="2:2" x14ac:dyDescent="0.2">
      <c r="B1103" s="7"/>
    </row>
    <row r="1104" spans="2:2" x14ac:dyDescent="0.2">
      <c r="B1104" s="7"/>
    </row>
    <row r="1105" spans="2:2" x14ac:dyDescent="0.2">
      <c r="B1105" s="7"/>
    </row>
    <row r="1106" spans="2:2" x14ac:dyDescent="0.2">
      <c r="B1106" s="7"/>
    </row>
    <row r="1107" spans="2:2" x14ac:dyDescent="0.2">
      <c r="B1107" s="7"/>
    </row>
    <row r="1108" spans="2:2" x14ac:dyDescent="0.2">
      <c r="B1108" s="7"/>
    </row>
    <row r="1109" spans="2:2" x14ac:dyDescent="0.2">
      <c r="B1109" s="7"/>
    </row>
    <row r="1110" spans="2:2" x14ac:dyDescent="0.2">
      <c r="B1110" s="7"/>
    </row>
    <row r="1111" spans="2:2" x14ac:dyDescent="0.2">
      <c r="B1111" s="7"/>
    </row>
    <row r="1112" spans="2:2" x14ac:dyDescent="0.2">
      <c r="B1112" s="7"/>
    </row>
    <row r="1113" spans="2:2" x14ac:dyDescent="0.2">
      <c r="B1113" s="7"/>
    </row>
    <row r="1114" spans="2:2" x14ac:dyDescent="0.2">
      <c r="B1114" s="7"/>
    </row>
    <row r="1115" spans="2:2" x14ac:dyDescent="0.2">
      <c r="B1115" s="7"/>
    </row>
    <row r="1116" spans="2:2" x14ac:dyDescent="0.2">
      <c r="B1116" s="7"/>
    </row>
    <row r="1117" spans="2:2" x14ac:dyDescent="0.2">
      <c r="B1117" s="7"/>
    </row>
    <row r="1118" spans="2:2" x14ac:dyDescent="0.2">
      <c r="B1118" s="7"/>
    </row>
    <row r="1119" spans="2:2" x14ac:dyDescent="0.2">
      <c r="B1119" s="7"/>
    </row>
    <row r="1120" spans="2:2" x14ac:dyDescent="0.2">
      <c r="B1120" s="7"/>
    </row>
    <row r="1121" spans="2:2" x14ac:dyDescent="0.2">
      <c r="B1121" s="7"/>
    </row>
    <row r="1122" spans="2:2" x14ac:dyDescent="0.2">
      <c r="B1122" s="7"/>
    </row>
    <row r="1123" spans="2:2" x14ac:dyDescent="0.2">
      <c r="B1123" s="7"/>
    </row>
    <row r="1124" spans="2:2" x14ac:dyDescent="0.2">
      <c r="B1124" s="7"/>
    </row>
    <row r="1125" spans="2:2" x14ac:dyDescent="0.2">
      <c r="B1125" s="7"/>
    </row>
    <row r="1126" spans="2:2" x14ac:dyDescent="0.2">
      <c r="B1126" s="7"/>
    </row>
    <row r="1127" spans="2:2" x14ac:dyDescent="0.2">
      <c r="B1127" s="7"/>
    </row>
    <row r="1128" spans="2:2" x14ac:dyDescent="0.2">
      <c r="B1128" s="7"/>
    </row>
    <row r="1129" spans="2:2" x14ac:dyDescent="0.2">
      <c r="B1129" s="7"/>
    </row>
    <row r="1130" spans="2:2" x14ac:dyDescent="0.2">
      <c r="B1130" s="7"/>
    </row>
    <row r="1131" spans="2:2" x14ac:dyDescent="0.2">
      <c r="B1131" s="7"/>
    </row>
    <row r="1132" spans="2:2" x14ac:dyDescent="0.2">
      <c r="B1132" s="7"/>
    </row>
    <row r="1133" spans="2:2" x14ac:dyDescent="0.2">
      <c r="B1133" s="7"/>
    </row>
    <row r="1134" spans="2:2" x14ac:dyDescent="0.2">
      <c r="B1134" s="7"/>
    </row>
    <row r="1135" spans="2:2" x14ac:dyDescent="0.2">
      <c r="B1135" s="7"/>
    </row>
    <row r="1136" spans="2:2" x14ac:dyDescent="0.2">
      <c r="B1136" s="7"/>
    </row>
    <row r="1137" spans="2:2" x14ac:dyDescent="0.2">
      <c r="B1137" s="7"/>
    </row>
    <row r="1138" spans="2:2" x14ac:dyDescent="0.2">
      <c r="B1138" s="7"/>
    </row>
    <row r="1139" spans="2:2" x14ac:dyDescent="0.2">
      <c r="B1139" s="7"/>
    </row>
    <row r="1140" spans="2:2" x14ac:dyDescent="0.2">
      <c r="B1140" s="7"/>
    </row>
    <row r="1141" spans="2:2" x14ac:dyDescent="0.2">
      <c r="B1141" s="7"/>
    </row>
    <row r="1142" spans="2:2" x14ac:dyDescent="0.2">
      <c r="B1142" s="7"/>
    </row>
    <row r="1143" spans="2:2" x14ac:dyDescent="0.2">
      <c r="B1143" s="7"/>
    </row>
    <row r="1144" spans="2:2" x14ac:dyDescent="0.2">
      <c r="B1144" s="7"/>
    </row>
    <row r="1145" spans="2:2" x14ac:dyDescent="0.2">
      <c r="B1145" s="7"/>
    </row>
    <row r="1146" spans="2:2" x14ac:dyDescent="0.2">
      <c r="B1146" s="7"/>
    </row>
    <row r="1147" spans="2:2" x14ac:dyDescent="0.2">
      <c r="B1147" s="7"/>
    </row>
    <row r="1148" spans="2:2" x14ac:dyDescent="0.2">
      <c r="B1148" s="7"/>
    </row>
    <row r="1149" spans="2:2" x14ac:dyDescent="0.2">
      <c r="B1149" s="7"/>
    </row>
    <row r="1150" spans="2:2" x14ac:dyDescent="0.2">
      <c r="B1150" s="7"/>
    </row>
    <row r="1151" spans="2:2" x14ac:dyDescent="0.2">
      <c r="B1151" s="7"/>
    </row>
    <row r="1152" spans="2:2" x14ac:dyDescent="0.2">
      <c r="B1152" s="7"/>
    </row>
    <row r="1153" spans="2:2" x14ac:dyDescent="0.2">
      <c r="B1153" s="7"/>
    </row>
    <row r="1154" spans="2:2" x14ac:dyDescent="0.2">
      <c r="B1154" s="7"/>
    </row>
    <row r="1155" spans="2:2" x14ac:dyDescent="0.2">
      <c r="B1155" s="7"/>
    </row>
    <row r="1156" spans="2:2" x14ac:dyDescent="0.2">
      <c r="B1156" s="7"/>
    </row>
    <row r="1157" spans="2:2" x14ac:dyDescent="0.2">
      <c r="B1157" s="7"/>
    </row>
    <row r="1158" spans="2:2" x14ac:dyDescent="0.2">
      <c r="B1158" s="7"/>
    </row>
    <row r="1159" spans="2:2" x14ac:dyDescent="0.2">
      <c r="B1159" s="7"/>
    </row>
    <row r="1160" spans="2:2" x14ac:dyDescent="0.2">
      <c r="B1160" s="7"/>
    </row>
    <row r="1161" spans="2:2" x14ac:dyDescent="0.2">
      <c r="B1161" s="7"/>
    </row>
    <row r="1162" spans="2:2" x14ac:dyDescent="0.2">
      <c r="B1162" s="7"/>
    </row>
    <row r="1163" spans="2:2" x14ac:dyDescent="0.2">
      <c r="B1163" s="7"/>
    </row>
    <row r="1164" spans="2:2" x14ac:dyDescent="0.2">
      <c r="B1164" s="7"/>
    </row>
    <row r="1165" spans="2:2" x14ac:dyDescent="0.2">
      <c r="B1165" s="7"/>
    </row>
    <row r="1166" spans="2:2" x14ac:dyDescent="0.2">
      <c r="B1166" s="7"/>
    </row>
    <row r="1167" spans="2:2" x14ac:dyDescent="0.2">
      <c r="B1167" s="7"/>
    </row>
    <row r="1168" spans="2:2" x14ac:dyDescent="0.2">
      <c r="B1168" s="7"/>
    </row>
    <row r="1169" spans="2:2" x14ac:dyDescent="0.2">
      <c r="B1169" s="7"/>
    </row>
    <row r="1170" spans="2:2" x14ac:dyDescent="0.2">
      <c r="B1170" s="7"/>
    </row>
    <row r="1171" spans="2:2" x14ac:dyDescent="0.2">
      <c r="B1171" s="7"/>
    </row>
    <row r="1172" spans="2:2" x14ac:dyDescent="0.2">
      <c r="B1172" s="7"/>
    </row>
    <row r="1173" spans="2:2" x14ac:dyDescent="0.2">
      <c r="B1173" s="7"/>
    </row>
    <row r="1174" spans="2:2" x14ac:dyDescent="0.2">
      <c r="B1174" s="7"/>
    </row>
    <row r="1175" spans="2:2" x14ac:dyDescent="0.2">
      <c r="B1175" s="7"/>
    </row>
    <row r="1176" spans="2:2" x14ac:dyDescent="0.2">
      <c r="B1176" s="7"/>
    </row>
    <row r="1177" spans="2:2" x14ac:dyDescent="0.2">
      <c r="B1177" s="7"/>
    </row>
    <row r="1178" spans="2:2" x14ac:dyDescent="0.2">
      <c r="B1178" s="7"/>
    </row>
    <row r="1179" spans="2:2" x14ac:dyDescent="0.2">
      <c r="B1179" s="7"/>
    </row>
    <row r="1180" spans="2:2" x14ac:dyDescent="0.2">
      <c r="B1180" s="7"/>
    </row>
    <row r="1181" spans="2:2" x14ac:dyDescent="0.2">
      <c r="B1181" s="7"/>
    </row>
    <row r="1182" spans="2:2" x14ac:dyDescent="0.2">
      <c r="B1182" s="7"/>
    </row>
    <row r="1183" spans="2:2" x14ac:dyDescent="0.2">
      <c r="B1183" s="7"/>
    </row>
    <row r="1184" spans="2:2" x14ac:dyDescent="0.2">
      <c r="B1184" s="7"/>
    </row>
    <row r="1185" spans="2:2" x14ac:dyDescent="0.2">
      <c r="B1185" s="7"/>
    </row>
    <row r="1186" spans="2:2" x14ac:dyDescent="0.2">
      <c r="B1186" s="7"/>
    </row>
    <row r="1187" spans="2:2" x14ac:dyDescent="0.2">
      <c r="B1187" s="7"/>
    </row>
    <row r="1188" spans="2:2" x14ac:dyDescent="0.2">
      <c r="B1188" s="7"/>
    </row>
    <row r="1189" spans="2:2" x14ac:dyDescent="0.2">
      <c r="B1189" s="7"/>
    </row>
    <row r="1190" spans="2:2" x14ac:dyDescent="0.2">
      <c r="B1190" s="7"/>
    </row>
    <row r="1191" spans="2:2" x14ac:dyDescent="0.2">
      <c r="B1191" s="7"/>
    </row>
    <row r="1192" spans="2:2" x14ac:dyDescent="0.2">
      <c r="B1192" s="7"/>
    </row>
    <row r="1193" spans="2:2" x14ac:dyDescent="0.2">
      <c r="B1193" s="7"/>
    </row>
    <row r="1194" spans="2:2" x14ac:dyDescent="0.2">
      <c r="B1194" s="7"/>
    </row>
    <row r="1195" spans="2:2" x14ac:dyDescent="0.2">
      <c r="B1195" s="7"/>
    </row>
    <row r="1196" spans="2:2" x14ac:dyDescent="0.2">
      <c r="B1196" s="7"/>
    </row>
    <row r="1197" spans="2:2" x14ac:dyDescent="0.2">
      <c r="B1197" s="7"/>
    </row>
    <row r="1198" spans="2:2" x14ac:dyDescent="0.2">
      <c r="B1198" s="7"/>
    </row>
    <row r="1199" spans="2:2" x14ac:dyDescent="0.2">
      <c r="B1199" s="7"/>
    </row>
    <row r="1200" spans="2:2" x14ac:dyDescent="0.2">
      <c r="B1200" s="7"/>
    </row>
    <row r="1201" spans="2:2" x14ac:dyDescent="0.2">
      <c r="B1201" s="7"/>
    </row>
    <row r="1202" spans="2:2" x14ac:dyDescent="0.2">
      <c r="B1202" s="7"/>
    </row>
    <row r="1203" spans="2:2" x14ac:dyDescent="0.2">
      <c r="B1203" s="7"/>
    </row>
    <row r="1204" spans="2:2" x14ac:dyDescent="0.2">
      <c r="B1204" s="7"/>
    </row>
    <row r="1205" spans="2:2" x14ac:dyDescent="0.2">
      <c r="B1205" s="7"/>
    </row>
    <row r="1206" spans="2:2" x14ac:dyDescent="0.2">
      <c r="B1206" s="7"/>
    </row>
    <row r="1207" spans="2:2" x14ac:dyDescent="0.2">
      <c r="B1207" s="7"/>
    </row>
    <row r="1208" spans="2:2" x14ac:dyDescent="0.2">
      <c r="B1208" s="7"/>
    </row>
    <row r="1209" spans="2:2" x14ac:dyDescent="0.2">
      <c r="B1209" s="7"/>
    </row>
    <row r="1210" spans="2:2" x14ac:dyDescent="0.2">
      <c r="B1210" s="7"/>
    </row>
    <row r="1211" spans="2:2" x14ac:dyDescent="0.2">
      <c r="B1211" s="7"/>
    </row>
    <row r="1212" spans="2:2" x14ac:dyDescent="0.2">
      <c r="B1212" s="7"/>
    </row>
    <row r="1213" spans="2:2" x14ac:dyDescent="0.2">
      <c r="B1213" s="7"/>
    </row>
    <row r="1214" spans="2:2" x14ac:dyDescent="0.2">
      <c r="B1214" s="7"/>
    </row>
    <row r="1215" spans="2:2" x14ac:dyDescent="0.2">
      <c r="B1215" s="7"/>
    </row>
    <row r="1216" spans="2:2" x14ac:dyDescent="0.2">
      <c r="B1216" s="7"/>
    </row>
    <row r="1217" spans="2:2" x14ac:dyDescent="0.2">
      <c r="B1217" s="7"/>
    </row>
    <row r="1218" spans="2:2" x14ac:dyDescent="0.2">
      <c r="B1218" s="7"/>
    </row>
    <row r="1219" spans="2:2" x14ac:dyDescent="0.2">
      <c r="B1219" s="7"/>
    </row>
    <row r="1220" spans="2:2" x14ac:dyDescent="0.2">
      <c r="B1220" s="7"/>
    </row>
    <row r="1221" spans="2:2" x14ac:dyDescent="0.2">
      <c r="B1221" s="7"/>
    </row>
    <row r="1222" spans="2:2" x14ac:dyDescent="0.2">
      <c r="B1222" s="7"/>
    </row>
    <row r="1223" spans="2:2" x14ac:dyDescent="0.2">
      <c r="B1223" s="7"/>
    </row>
    <row r="1224" spans="2:2" x14ac:dyDescent="0.2">
      <c r="B1224" s="7"/>
    </row>
    <row r="1225" spans="2:2" x14ac:dyDescent="0.2">
      <c r="B1225" s="7"/>
    </row>
    <row r="1226" spans="2:2" x14ac:dyDescent="0.2">
      <c r="B1226" s="7"/>
    </row>
    <row r="1227" spans="2:2" x14ac:dyDescent="0.2">
      <c r="B1227" s="7"/>
    </row>
    <row r="1228" spans="2:2" x14ac:dyDescent="0.2">
      <c r="B1228" s="7"/>
    </row>
    <row r="1229" spans="2:2" x14ac:dyDescent="0.2">
      <c r="B1229" s="7"/>
    </row>
    <row r="1230" spans="2:2" x14ac:dyDescent="0.2">
      <c r="B1230" s="7"/>
    </row>
    <row r="1231" spans="2:2" x14ac:dyDescent="0.2">
      <c r="B1231" s="7"/>
    </row>
    <row r="1232" spans="2:2" x14ac:dyDescent="0.2">
      <c r="B1232" s="7"/>
    </row>
    <row r="1233" spans="2:2" x14ac:dyDescent="0.2">
      <c r="B1233" s="7"/>
    </row>
    <row r="1234" spans="2:2" x14ac:dyDescent="0.2">
      <c r="B1234" s="7"/>
    </row>
    <row r="1235" spans="2:2" x14ac:dyDescent="0.2">
      <c r="B1235" s="7"/>
    </row>
    <row r="1236" spans="2:2" x14ac:dyDescent="0.2">
      <c r="B1236" s="7"/>
    </row>
    <row r="1237" spans="2:2" x14ac:dyDescent="0.2">
      <c r="B1237" s="7"/>
    </row>
    <row r="1238" spans="2:2" x14ac:dyDescent="0.2">
      <c r="B1238" s="7"/>
    </row>
    <row r="1239" spans="2:2" x14ac:dyDescent="0.2">
      <c r="B1239" s="7"/>
    </row>
    <row r="1240" spans="2:2" x14ac:dyDescent="0.2">
      <c r="B1240" s="7"/>
    </row>
    <row r="1241" spans="2:2" x14ac:dyDescent="0.2">
      <c r="B1241" s="7"/>
    </row>
    <row r="1242" spans="2:2" x14ac:dyDescent="0.2">
      <c r="B1242" s="7"/>
    </row>
    <row r="1243" spans="2:2" x14ac:dyDescent="0.2">
      <c r="B1243" s="7"/>
    </row>
    <row r="1244" spans="2:2" x14ac:dyDescent="0.2">
      <c r="B1244" s="7"/>
    </row>
    <row r="1245" spans="2:2" x14ac:dyDescent="0.2">
      <c r="B1245" s="7"/>
    </row>
    <row r="1246" spans="2:2" x14ac:dyDescent="0.2">
      <c r="B1246" s="7"/>
    </row>
    <row r="1247" spans="2:2" x14ac:dyDescent="0.2">
      <c r="B1247" s="7"/>
    </row>
    <row r="1248" spans="2:2" x14ac:dyDescent="0.2">
      <c r="B1248" s="7"/>
    </row>
    <row r="1249" spans="2:2" x14ac:dyDescent="0.2">
      <c r="B1249" s="7"/>
    </row>
    <row r="1250" spans="2:2" x14ac:dyDescent="0.2">
      <c r="B1250" s="7"/>
    </row>
    <row r="1251" spans="2:2" x14ac:dyDescent="0.2">
      <c r="B1251" s="7"/>
    </row>
    <row r="1252" spans="2:2" x14ac:dyDescent="0.2">
      <c r="B1252" s="7"/>
    </row>
    <row r="1253" spans="2:2" x14ac:dyDescent="0.2">
      <c r="B1253" s="7"/>
    </row>
    <row r="1254" spans="2:2" x14ac:dyDescent="0.2">
      <c r="B1254" s="7"/>
    </row>
    <row r="1255" spans="2:2" x14ac:dyDescent="0.2">
      <c r="B1255" s="7"/>
    </row>
    <row r="1256" spans="2:2" x14ac:dyDescent="0.2">
      <c r="B1256" s="7"/>
    </row>
    <row r="1257" spans="2:2" x14ac:dyDescent="0.2">
      <c r="B1257" s="7"/>
    </row>
    <row r="1258" spans="2:2" x14ac:dyDescent="0.2">
      <c r="B1258" s="7"/>
    </row>
    <row r="1259" spans="2:2" x14ac:dyDescent="0.2">
      <c r="B1259" s="7"/>
    </row>
    <row r="1260" spans="2:2" x14ac:dyDescent="0.2">
      <c r="B1260" s="7"/>
    </row>
    <row r="1261" spans="2:2" x14ac:dyDescent="0.2">
      <c r="B1261" s="7"/>
    </row>
    <row r="1262" spans="2:2" x14ac:dyDescent="0.2">
      <c r="B1262" s="7"/>
    </row>
    <row r="1263" spans="2:2" x14ac:dyDescent="0.2">
      <c r="B1263" s="7"/>
    </row>
    <row r="1264" spans="2:2" x14ac:dyDescent="0.2">
      <c r="B1264" s="7"/>
    </row>
    <row r="1265" spans="2:2" x14ac:dyDescent="0.2">
      <c r="B1265" s="7"/>
    </row>
    <row r="1266" spans="2:2" x14ac:dyDescent="0.2">
      <c r="B1266" s="7"/>
    </row>
    <row r="1267" spans="2:2" x14ac:dyDescent="0.2">
      <c r="B1267" s="7"/>
    </row>
    <row r="1268" spans="2:2" x14ac:dyDescent="0.2">
      <c r="B1268" s="7"/>
    </row>
    <row r="1269" spans="2:2" x14ac:dyDescent="0.2">
      <c r="B1269" s="7"/>
    </row>
    <row r="1270" spans="2:2" x14ac:dyDescent="0.2">
      <c r="B1270" s="7"/>
    </row>
    <row r="1271" spans="2:2" x14ac:dyDescent="0.2">
      <c r="B1271" s="7"/>
    </row>
    <row r="1272" spans="2:2" x14ac:dyDescent="0.2">
      <c r="B1272" s="7"/>
    </row>
    <row r="1273" spans="2:2" x14ac:dyDescent="0.2">
      <c r="B1273" s="7"/>
    </row>
    <row r="1274" spans="2:2" x14ac:dyDescent="0.2">
      <c r="B1274" s="7"/>
    </row>
    <row r="1275" spans="2:2" x14ac:dyDescent="0.2">
      <c r="B1275" s="7"/>
    </row>
    <row r="1276" spans="2:2" x14ac:dyDescent="0.2">
      <c r="B1276" s="7"/>
    </row>
    <row r="1277" spans="2:2" x14ac:dyDescent="0.2">
      <c r="B1277" s="7"/>
    </row>
    <row r="1278" spans="2:2" x14ac:dyDescent="0.2">
      <c r="B1278" s="7"/>
    </row>
    <row r="1279" spans="2:2" x14ac:dyDescent="0.2">
      <c r="B1279" s="7"/>
    </row>
    <row r="1280" spans="2:2" x14ac:dyDescent="0.2">
      <c r="B1280" s="7"/>
    </row>
    <row r="1281" spans="2:2" x14ac:dyDescent="0.2">
      <c r="B1281" s="7"/>
    </row>
    <row r="1282" spans="2:2" x14ac:dyDescent="0.2">
      <c r="B1282" s="7"/>
    </row>
    <row r="1283" spans="2:2" x14ac:dyDescent="0.2">
      <c r="B1283" s="7"/>
    </row>
    <row r="1284" spans="2:2" x14ac:dyDescent="0.2">
      <c r="B1284" s="7"/>
    </row>
    <row r="1285" spans="2:2" x14ac:dyDescent="0.2">
      <c r="B1285" s="7"/>
    </row>
    <row r="1286" spans="2:2" x14ac:dyDescent="0.2">
      <c r="B1286" s="7"/>
    </row>
    <row r="1287" spans="2:2" x14ac:dyDescent="0.2">
      <c r="B1287" s="7"/>
    </row>
    <row r="1288" spans="2:2" x14ac:dyDescent="0.2">
      <c r="B1288" s="7"/>
    </row>
    <row r="1289" spans="2:2" x14ac:dyDescent="0.2">
      <c r="B1289" s="7"/>
    </row>
    <row r="1290" spans="2:2" x14ac:dyDescent="0.2">
      <c r="B1290" s="7"/>
    </row>
    <row r="1291" spans="2:2" x14ac:dyDescent="0.2">
      <c r="B1291" s="7"/>
    </row>
    <row r="1292" spans="2:2" x14ac:dyDescent="0.2">
      <c r="B1292" s="7"/>
    </row>
    <row r="1293" spans="2:2" x14ac:dyDescent="0.2">
      <c r="B1293" s="7"/>
    </row>
    <row r="1294" spans="2:2" x14ac:dyDescent="0.2">
      <c r="B1294" s="7"/>
    </row>
    <row r="1295" spans="2:2" x14ac:dyDescent="0.2">
      <c r="B1295" s="7"/>
    </row>
    <row r="1296" spans="2:2" x14ac:dyDescent="0.2">
      <c r="B1296" s="7"/>
    </row>
    <row r="1297" spans="2:2" x14ac:dyDescent="0.2">
      <c r="B1297" s="7"/>
    </row>
    <row r="1298" spans="2:2" x14ac:dyDescent="0.2">
      <c r="B1298" s="7"/>
    </row>
    <row r="1299" spans="2:2" x14ac:dyDescent="0.2">
      <c r="B1299" s="7"/>
    </row>
    <row r="1300" spans="2:2" x14ac:dyDescent="0.2">
      <c r="B1300" s="7"/>
    </row>
    <row r="1301" spans="2:2" x14ac:dyDescent="0.2">
      <c r="B1301" s="7"/>
    </row>
    <row r="1302" spans="2:2" x14ac:dyDescent="0.2">
      <c r="B1302" s="7"/>
    </row>
    <row r="1303" spans="2:2" x14ac:dyDescent="0.2">
      <c r="B1303" s="7"/>
    </row>
    <row r="1304" spans="2:2" x14ac:dyDescent="0.2">
      <c r="B1304" s="7"/>
    </row>
    <row r="1305" spans="2:2" x14ac:dyDescent="0.2">
      <c r="B1305" s="7"/>
    </row>
    <row r="1306" spans="2:2" x14ac:dyDescent="0.2">
      <c r="B1306" s="7"/>
    </row>
    <row r="1307" spans="2:2" x14ac:dyDescent="0.2">
      <c r="B1307" s="7"/>
    </row>
    <row r="1308" spans="2:2" x14ac:dyDescent="0.2">
      <c r="B1308" s="7"/>
    </row>
    <row r="1309" spans="2:2" x14ac:dyDescent="0.2">
      <c r="B1309" s="7"/>
    </row>
    <row r="1310" spans="2:2" x14ac:dyDescent="0.2">
      <c r="B1310" s="7"/>
    </row>
    <row r="1311" spans="2:2" x14ac:dyDescent="0.2">
      <c r="B1311" s="7"/>
    </row>
    <row r="1312" spans="2:2" x14ac:dyDescent="0.2">
      <c r="B1312" s="7"/>
    </row>
    <row r="1313" spans="2:2" x14ac:dyDescent="0.2">
      <c r="B1313" s="7"/>
    </row>
    <row r="1314" spans="2:2" x14ac:dyDescent="0.2">
      <c r="B1314" s="7"/>
    </row>
    <row r="1315" spans="2:2" x14ac:dyDescent="0.2">
      <c r="B1315" s="7"/>
    </row>
    <row r="1316" spans="2:2" x14ac:dyDescent="0.2">
      <c r="B1316" s="7"/>
    </row>
    <row r="1317" spans="2:2" x14ac:dyDescent="0.2">
      <c r="B1317" s="7"/>
    </row>
    <row r="1318" spans="2:2" x14ac:dyDescent="0.2">
      <c r="B1318" s="7"/>
    </row>
    <row r="1319" spans="2:2" x14ac:dyDescent="0.2">
      <c r="B1319" s="7"/>
    </row>
    <row r="1320" spans="2:2" x14ac:dyDescent="0.2">
      <c r="B1320" s="7"/>
    </row>
    <row r="1321" spans="2:2" x14ac:dyDescent="0.2">
      <c r="B1321" s="7"/>
    </row>
    <row r="1322" spans="2:2" x14ac:dyDescent="0.2">
      <c r="B1322" s="7"/>
    </row>
    <row r="1323" spans="2:2" x14ac:dyDescent="0.2">
      <c r="B1323" s="7"/>
    </row>
    <row r="1324" spans="2:2" x14ac:dyDescent="0.2">
      <c r="B1324" s="7"/>
    </row>
    <row r="1325" spans="2:2" x14ac:dyDescent="0.2">
      <c r="B1325" s="7"/>
    </row>
    <row r="1326" spans="2:2" x14ac:dyDescent="0.2">
      <c r="B1326" s="7"/>
    </row>
    <row r="1327" spans="2:2" x14ac:dyDescent="0.2">
      <c r="B1327" s="7"/>
    </row>
    <row r="1328" spans="2:2" x14ac:dyDescent="0.2">
      <c r="B1328" s="7"/>
    </row>
    <row r="1329" spans="2:2" x14ac:dyDescent="0.2">
      <c r="B1329" s="7"/>
    </row>
    <row r="1330" spans="2:2" x14ac:dyDescent="0.2">
      <c r="B1330" s="7"/>
    </row>
    <row r="1331" spans="2:2" x14ac:dyDescent="0.2">
      <c r="B1331" s="7"/>
    </row>
    <row r="1332" spans="2:2" x14ac:dyDescent="0.2">
      <c r="B1332" s="7"/>
    </row>
    <row r="1333" spans="2:2" x14ac:dyDescent="0.2">
      <c r="B1333" s="7"/>
    </row>
    <row r="1334" spans="2:2" x14ac:dyDescent="0.2">
      <c r="B1334" s="7"/>
    </row>
    <row r="1335" spans="2:2" x14ac:dyDescent="0.2">
      <c r="B1335" s="7"/>
    </row>
    <row r="1336" spans="2:2" x14ac:dyDescent="0.2">
      <c r="B1336" s="7"/>
    </row>
    <row r="1337" spans="2:2" x14ac:dyDescent="0.2">
      <c r="B1337" s="7"/>
    </row>
    <row r="1338" spans="2:2" x14ac:dyDescent="0.2">
      <c r="B1338" s="7"/>
    </row>
    <row r="1339" spans="2:2" x14ac:dyDescent="0.2">
      <c r="B1339" s="7"/>
    </row>
    <row r="1340" spans="2:2" x14ac:dyDescent="0.2">
      <c r="B1340" s="7"/>
    </row>
    <row r="1341" spans="2:2" x14ac:dyDescent="0.2">
      <c r="B1341" s="7"/>
    </row>
    <row r="1342" spans="2:2" x14ac:dyDescent="0.2">
      <c r="B1342" s="7"/>
    </row>
    <row r="1343" spans="2:2" x14ac:dyDescent="0.2">
      <c r="B1343" s="7"/>
    </row>
    <row r="1344" spans="2:2" x14ac:dyDescent="0.2">
      <c r="B1344" s="7"/>
    </row>
    <row r="1345" spans="2:2" x14ac:dyDescent="0.2">
      <c r="B1345" s="7"/>
    </row>
    <row r="1346" spans="2:2" x14ac:dyDescent="0.2">
      <c r="B1346" s="7"/>
    </row>
    <row r="1347" spans="2:2" x14ac:dyDescent="0.2">
      <c r="B1347" s="7"/>
    </row>
    <row r="1348" spans="2:2" x14ac:dyDescent="0.2">
      <c r="B1348" s="7"/>
    </row>
    <row r="1349" spans="2:2" x14ac:dyDescent="0.2">
      <c r="B1349" s="7"/>
    </row>
    <row r="1350" spans="2:2" x14ac:dyDescent="0.2">
      <c r="B1350" s="7"/>
    </row>
    <row r="1351" spans="2:2" x14ac:dyDescent="0.2">
      <c r="B1351" s="7"/>
    </row>
    <row r="1352" spans="2:2" x14ac:dyDescent="0.2">
      <c r="B1352" s="7"/>
    </row>
    <row r="1353" spans="2:2" x14ac:dyDescent="0.2">
      <c r="B1353" s="7"/>
    </row>
    <row r="1354" spans="2:2" x14ac:dyDescent="0.2">
      <c r="B1354" s="7"/>
    </row>
    <row r="1355" spans="2:2" x14ac:dyDescent="0.2">
      <c r="B1355" s="7"/>
    </row>
    <row r="1356" spans="2:2" x14ac:dyDescent="0.2">
      <c r="B1356" s="7"/>
    </row>
    <row r="1357" spans="2:2" x14ac:dyDescent="0.2">
      <c r="B1357" s="7"/>
    </row>
    <row r="1358" spans="2:2" x14ac:dyDescent="0.2">
      <c r="B1358" s="7"/>
    </row>
    <row r="1359" spans="2:2" x14ac:dyDescent="0.2">
      <c r="B1359" s="7"/>
    </row>
    <row r="1360" spans="2:2" x14ac:dyDescent="0.2">
      <c r="B1360" s="7"/>
    </row>
    <row r="1361" spans="2:2" x14ac:dyDescent="0.2">
      <c r="B1361" s="7"/>
    </row>
    <row r="1362" spans="2:2" x14ac:dyDescent="0.2">
      <c r="B1362" s="7"/>
    </row>
    <row r="1363" spans="2:2" x14ac:dyDescent="0.2">
      <c r="B1363" s="7"/>
    </row>
    <row r="1364" spans="2:2" x14ac:dyDescent="0.2">
      <c r="B1364" s="7"/>
    </row>
    <row r="1365" spans="2:2" x14ac:dyDescent="0.2">
      <c r="B1365" s="7"/>
    </row>
    <row r="1366" spans="2:2" x14ac:dyDescent="0.2">
      <c r="B1366" s="7"/>
    </row>
    <row r="1367" spans="2:2" x14ac:dyDescent="0.2">
      <c r="B1367" s="7"/>
    </row>
    <row r="1368" spans="2:2" x14ac:dyDescent="0.2">
      <c r="B1368" s="7"/>
    </row>
    <row r="1369" spans="2:2" x14ac:dyDescent="0.2">
      <c r="B1369" s="7"/>
    </row>
    <row r="1370" spans="2:2" x14ac:dyDescent="0.2">
      <c r="B1370" s="7"/>
    </row>
    <row r="1371" spans="2:2" x14ac:dyDescent="0.2">
      <c r="B1371" s="7"/>
    </row>
    <row r="1372" spans="2:2" x14ac:dyDescent="0.2">
      <c r="B1372" s="7"/>
    </row>
    <row r="1373" spans="2:2" x14ac:dyDescent="0.2">
      <c r="B1373" s="7"/>
    </row>
    <row r="1374" spans="2:2" x14ac:dyDescent="0.2">
      <c r="B1374" s="7"/>
    </row>
    <row r="1375" spans="2:2" x14ac:dyDescent="0.2">
      <c r="B1375" s="7"/>
    </row>
    <row r="1376" spans="2:2" x14ac:dyDescent="0.2">
      <c r="B1376" s="7"/>
    </row>
    <row r="1377" spans="2:2" x14ac:dyDescent="0.2">
      <c r="B1377" s="7"/>
    </row>
    <row r="1378" spans="2:2" x14ac:dyDescent="0.2">
      <c r="B1378" s="7"/>
    </row>
    <row r="1379" spans="2:2" x14ac:dyDescent="0.2">
      <c r="B1379" s="7"/>
    </row>
    <row r="1380" spans="2:2" x14ac:dyDescent="0.2">
      <c r="B1380" s="7"/>
    </row>
    <row r="1381" spans="2:2" x14ac:dyDescent="0.2">
      <c r="B1381" s="7"/>
    </row>
    <row r="1382" spans="2:2" x14ac:dyDescent="0.2">
      <c r="B1382" s="7"/>
    </row>
    <row r="1383" spans="2:2" x14ac:dyDescent="0.2">
      <c r="B1383" s="7"/>
    </row>
    <row r="1384" spans="2:2" x14ac:dyDescent="0.2">
      <c r="B1384" s="7"/>
    </row>
    <row r="1385" spans="2:2" x14ac:dyDescent="0.2">
      <c r="B1385" s="7"/>
    </row>
    <row r="1386" spans="2:2" x14ac:dyDescent="0.2">
      <c r="B1386" s="7"/>
    </row>
    <row r="1387" spans="2:2" x14ac:dyDescent="0.2">
      <c r="B1387" s="7"/>
    </row>
    <row r="1388" spans="2:2" x14ac:dyDescent="0.2">
      <c r="B1388" s="7"/>
    </row>
    <row r="1389" spans="2:2" x14ac:dyDescent="0.2">
      <c r="B1389" s="7"/>
    </row>
    <row r="1390" spans="2:2" x14ac:dyDescent="0.2">
      <c r="B1390" s="7"/>
    </row>
    <row r="1391" spans="2:2" x14ac:dyDescent="0.2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2.75" x14ac:dyDescent="0.2"/>
  <cols>
    <col min="1" max="1" width="5.85546875" style="14" bestFit="1" customWidth="1"/>
    <col min="2" max="2" width="12.140625" customWidth="1"/>
    <col min="3" max="3" width="14.5703125" customWidth="1"/>
    <col min="4" max="4" width="17.42578125" customWidth="1"/>
    <col min="5" max="5" width="12.140625" customWidth="1"/>
    <col min="6" max="6" width="17.7109375" customWidth="1"/>
    <col min="7" max="7" width="9.5703125" customWidth="1"/>
    <col min="8" max="8" width="17.42578125" customWidth="1"/>
  </cols>
  <sheetData>
    <row r="1" spans="1:8" x14ac:dyDescent="0.2">
      <c r="C1" s="4" t="s">
        <v>93</v>
      </c>
    </row>
    <row r="2" spans="1:8" x14ac:dyDescent="0.2">
      <c r="C2" s="4" t="s">
        <v>94</v>
      </c>
    </row>
    <row r="3" spans="1:8" x14ac:dyDescent="0.2">
      <c r="C3" s="4"/>
    </row>
    <row r="4" spans="1:8" x14ac:dyDescent="0.2">
      <c r="B4" s="12" t="s">
        <v>82</v>
      </c>
      <c r="C4" s="4"/>
      <c r="D4" s="99">
        <f>B61</f>
        <v>44099</v>
      </c>
    </row>
    <row r="5" spans="1:8" x14ac:dyDescent="0.2">
      <c r="C5" s="4"/>
    </row>
    <row r="6" spans="1:8" ht="13.5" thickBot="1" x14ac:dyDescent="0.25"/>
    <row r="7" spans="1:8" x14ac:dyDescent="0.2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5" thickBot="1" x14ac:dyDescent="0.25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5" x14ac:dyDescent="0.25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5" x14ac:dyDescent="0.25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5" x14ac:dyDescent="0.25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5" x14ac:dyDescent="0.25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5" x14ac:dyDescent="0.25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5" x14ac:dyDescent="0.25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5" x14ac:dyDescent="0.25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5" x14ac:dyDescent="0.25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5" x14ac:dyDescent="0.25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5" x14ac:dyDescent="0.25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5" x14ac:dyDescent="0.25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5" x14ac:dyDescent="0.25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5" x14ac:dyDescent="0.25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5" x14ac:dyDescent="0.25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5" x14ac:dyDescent="0.25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5" x14ac:dyDescent="0.25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5" x14ac:dyDescent="0.25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5" x14ac:dyDescent="0.25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5" x14ac:dyDescent="0.25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5" x14ac:dyDescent="0.25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5" x14ac:dyDescent="0.25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5" x14ac:dyDescent="0.25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5" x14ac:dyDescent="0.25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5" x14ac:dyDescent="0.25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5" x14ac:dyDescent="0.25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5" x14ac:dyDescent="0.25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5" x14ac:dyDescent="0.25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5" x14ac:dyDescent="0.25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5" x14ac:dyDescent="0.25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5" x14ac:dyDescent="0.25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5" x14ac:dyDescent="0.25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5" x14ac:dyDescent="0.25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5" x14ac:dyDescent="0.25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5" x14ac:dyDescent="0.25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5" x14ac:dyDescent="0.25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5" x14ac:dyDescent="0.25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5" x14ac:dyDescent="0.25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5" x14ac:dyDescent="0.25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5" x14ac:dyDescent="0.25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5" x14ac:dyDescent="0.25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5" x14ac:dyDescent="0.25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5" x14ac:dyDescent="0.25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5" x14ac:dyDescent="0.25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5" x14ac:dyDescent="0.25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5" x14ac:dyDescent="0.25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5" x14ac:dyDescent="0.25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5" x14ac:dyDescent="0.25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5" x14ac:dyDescent="0.25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5" x14ac:dyDescent="0.25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5" x14ac:dyDescent="0.25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5" x14ac:dyDescent="0.25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.75" thickBot="1" x14ac:dyDescent="0.3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">
      <c r="B62" s="7"/>
      <c r="D62" s="3"/>
    </row>
    <row r="63" spans="1:8" x14ac:dyDescent="0.2">
      <c r="B63" s="7"/>
    </row>
    <row r="64" spans="1:8" x14ac:dyDescent="0.2">
      <c r="B64" s="7"/>
    </row>
    <row r="65" spans="2:3" x14ac:dyDescent="0.2">
      <c r="B65" s="7"/>
    </row>
    <row r="66" spans="2:3" x14ac:dyDescent="0.2">
      <c r="B66" s="7"/>
      <c r="C66" s="5"/>
    </row>
    <row r="67" spans="2:3" x14ac:dyDescent="0.2">
      <c r="B67" s="7"/>
      <c r="C67" s="5"/>
    </row>
    <row r="68" spans="2:3" x14ac:dyDescent="0.2">
      <c r="B68" s="7"/>
    </row>
    <row r="69" spans="2:3" x14ac:dyDescent="0.2">
      <c r="B69" s="7"/>
    </row>
    <row r="70" spans="2:3" x14ac:dyDescent="0.2">
      <c r="B70" s="7"/>
    </row>
    <row r="71" spans="2:3" x14ac:dyDescent="0.2">
      <c r="B71" s="7"/>
    </row>
    <row r="72" spans="2:3" x14ac:dyDescent="0.2">
      <c r="B72" s="7"/>
    </row>
    <row r="73" spans="2:3" x14ac:dyDescent="0.2">
      <c r="B73" s="7"/>
    </row>
    <row r="74" spans="2:3" x14ac:dyDescent="0.2">
      <c r="B74" s="7"/>
    </row>
    <row r="75" spans="2:3" x14ac:dyDescent="0.2">
      <c r="B75" s="7"/>
    </row>
    <row r="76" spans="2:3" x14ac:dyDescent="0.2">
      <c r="B76" s="7"/>
    </row>
    <row r="77" spans="2:3" x14ac:dyDescent="0.2">
      <c r="B77" s="7"/>
    </row>
    <row r="78" spans="2:3" x14ac:dyDescent="0.2">
      <c r="B78" s="7"/>
    </row>
    <row r="79" spans="2:3" x14ac:dyDescent="0.2">
      <c r="B79" s="7"/>
    </row>
    <row r="80" spans="2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2:2" x14ac:dyDescent="0.2">
      <c r="B513" s="7"/>
    </row>
    <row r="514" spans="2:2" x14ac:dyDescent="0.2">
      <c r="B514" s="7"/>
    </row>
    <row r="515" spans="2:2" x14ac:dyDescent="0.2">
      <c r="B515" s="7"/>
    </row>
    <row r="516" spans="2:2" x14ac:dyDescent="0.2">
      <c r="B516" s="7"/>
    </row>
    <row r="517" spans="2:2" x14ac:dyDescent="0.2">
      <c r="B517" s="7"/>
    </row>
    <row r="518" spans="2:2" x14ac:dyDescent="0.2">
      <c r="B518" s="7"/>
    </row>
    <row r="519" spans="2:2" x14ac:dyDescent="0.2">
      <c r="B519" s="7"/>
    </row>
    <row r="520" spans="2:2" x14ac:dyDescent="0.2">
      <c r="B520" s="7"/>
    </row>
    <row r="521" spans="2:2" x14ac:dyDescent="0.2">
      <c r="B521" s="7"/>
    </row>
    <row r="522" spans="2:2" x14ac:dyDescent="0.2">
      <c r="B522" s="7"/>
    </row>
    <row r="523" spans="2:2" x14ac:dyDescent="0.2">
      <c r="B523" s="7"/>
    </row>
    <row r="524" spans="2:2" x14ac:dyDescent="0.2">
      <c r="B524" s="7"/>
    </row>
    <row r="525" spans="2:2" x14ac:dyDescent="0.2">
      <c r="B525" s="7"/>
    </row>
    <row r="526" spans="2:2" x14ac:dyDescent="0.2">
      <c r="B526" s="7"/>
    </row>
    <row r="527" spans="2:2" x14ac:dyDescent="0.2">
      <c r="B527" s="7"/>
    </row>
    <row r="528" spans="2:2" x14ac:dyDescent="0.2">
      <c r="B528" s="7"/>
    </row>
    <row r="529" spans="2:2" x14ac:dyDescent="0.2">
      <c r="B529" s="7"/>
    </row>
    <row r="530" spans="2:2" x14ac:dyDescent="0.2">
      <c r="B530" s="7"/>
    </row>
    <row r="531" spans="2:2" x14ac:dyDescent="0.2">
      <c r="B531" s="7"/>
    </row>
    <row r="532" spans="2:2" x14ac:dyDescent="0.2">
      <c r="B532" s="7"/>
    </row>
    <row r="533" spans="2:2" x14ac:dyDescent="0.2">
      <c r="B533" s="7"/>
    </row>
    <row r="534" spans="2:2" x14ac:dyDescent="0.2">
      <c r="B534" s="7"/>
    </row>
    <row r="535" spans="2:2" x14ac:dyDescent="0.2">
      <c r="B535" s="7"/>
    </row>
    <row r="536" spans="2:2" x14ac:dyDescent="0.2">
      <c r="B536" s="7"/>
    </row>
    <row r="537" spans="2:2" x14ac:dyDescent="0.2">
      <c r="B537" s="7"/>
    </row>
    <row r="538" spans="2:2" x14ac:dyDescent="0.2">
      <c r="B538" s="7"/>
    </row>
    <row r="539" spans="2:2" x14ac:dyDescent="0.2">
      <c r="B539" s="7"/>
    </row>
    <row r="540" spans="2:2" x14ac:dyDescent="0.2">
      <c r="B540" s="7"/>
    </row>
    <row r="541" spans="2:2" x14ac:dyDescent="0.2">
      <c r="B541" s="7"/>
    </row>
    <row r="542" spans="2:2" x14ac:dyDescent="0.2">
      <c r="B542" s="7"/>
    </row>
    <row r="543" spans="2:2" x14ac:dyDescent="0.2">
      <c r="B543" s="7"/>
    </row>
    <row r="544" spans="2:2" x14ac:dyDescent="0.2">
      <c r="B544" s="7"/>
    </row>
    <row r="545" spans="2:2" x14ac:dyDescent="0.2">
      <c r="B545" s="7"/>
    </row>
    <row r="546" spans="2:2" x14ac:dyDescent="0.2">
      <c r="B546" s="7"/>
    </row>
    <row r="547" spans="2:2" x14ac:dyDescent="0.2">
      <c r="B547" s="7"/>
    </row>
    <row r="548" spans="2:2" x14ac:dyDescent="0.2">
      <c r="B548" s="7"/>
    </row>
    <row r="549" spans="2:2" x14ac:dyDescent="0.2">
      <c r="B549" s="7"/>
    </row>
    <row r="550" spans="2:2" x14ac:dyDescent="0.2">
      <c r="B550" s="7"/>
    </row>
    <row r="551" spans="2:2" x14ac:dyDescent="0.2">
      <c r="B551" s="7"/>
    </row>
    <row r="552" spans="2:2" x14ac:dyDescent="0.2">
      <c r="B552" s="7"/>
    </row>
    <row r="553" spans="2:2" x14ac:dyDescent="0.2">
      <c r="B553" s="7"/>
    </row>
    <row r="554" spans="2:2" x14ac:dyDescent="0.2">
      <c r="B554" s="7"/>
    </row>
    <row r="555" spans="2:2" x14ac:dyDescent="0.2">
      <c r="B555" s="7"/>
    </row>
    <row r="556" spans="2:2" x14ac:dyDescent="0.2">
      <c r="B556" s="7"/>
    </row>
    <row r="557" spans="2:2" x14ac:dyDescent="0.2">
      <c r="B557" s="7"/>
    </row>
    <row r="558" spans="2:2" x14ac:dyDescent="0.2">
      <c r="B558" s="7"/>
    </row>
    <row r="559" spans="2:2" x14ac:dyDescent="0.2">
      <c r="B559" s="7"/>
    </row>
    <row r="560" spans="2:2" x14ac:dyDescent="0.2">
      <c r="B560" s="7"/>
    </row>
    <row r="561" spans="2:2" x14ac:dyDescent="0.2">
      <c r="B561" s="7"/>
    </row>
    <row r="562" spans="2:2" x14ac:dyDescent="0.2">
      <c r="B562" s="7"/>
    </row>
    <row r="563" spans="2:2" x14ac:dyDescent="0.2">
      <c r="B563" s="7"/>
    </row>
    <row r="564" spans="2:2" x14ac:dyDescent="0.2">
      <c r="B564" s="7"/>
    </row>
    <row r="565" spans="2:2" x14ac:dyDescent="0.2">
      <c r="B565" s="7"/>
    </row>
    <row r="566" spans="2:2" x14ac:dyDescent="0.2">
      <c r="B566" s="7"/>
    </row>
    <row r="567" spans="2:2" x14ac:dyDescent="0.2">
      <c r="B567" s="7"/>
    </row>
    <row r="568" spans="2:2" x14ac:dyDescent="0.2">
      <c r="B568" s="7"/>
    </row>
    <row r="569" spans="2:2" x14ac:dyDescent="0.2">
      <c r="B569" s="7"/>
    </row>
    <row r="570" spans="2:2" x14ac:dyDescent="0.2">
      <c r="B570" s="7"/>
    </row>
    <row r="571" spans="2:2" x14ac:dyDescent="0.2">
      <c r="B571" s="7"/>
    </row>
    <row r="572" spans="2:2" x14ac:dyDescent="0.2">
      <c r="B572" s="7"/>
    </row>
    <row r="573" spans="2:2" x14ac:dyDescent="0.2">
      <c r="B573" s="7"/>
    </row>
    <row r="574" spans="2:2" x14ac:dyDescent="0.2">
      <c r="B574" s="7"/>
    </row>
    <row r="575" spans="2:2" x14ac:dyDescent="0.2">
      <c r="B575" s="7"/>
    </row>
    <row r="576" spans="2:2" x14ac:dyDescent="0.2">
      <c r="B576" s="7"/>
    </row>
    <row r="577" spans="2:2" x14ac:dyDescent="0.2">
      <c r="B577" s="7"/>
    </row>
    <row r="578" spans="2:2" x14ac:dyDescent="0.2">
      <c r="B578" s="7"/>
    </row>
    <row r="579" spans="2:2" x14ac:dyDescent="0.2">
      <c r="B579" s="7"/>
    </row>
    <row r="580" spans="2:2" x14ac:dyDescent="0.2">
      <c r="B580" s="7"/>
    </row>
    <row r="581" spans="2:2" x14ac:dyDescent="0.2">
      <c r="B581" s="7"/>
    </row>
    <row r="582" spans="2:2" x14ac:dyDescent="0.2">
      <c r="B582" s="7"/>
    </row>
    <row r="583" spans="2:2" x14ac:dyDescent="0.2">
      <c r="B583" s="7"/>
    </row>
    <row r="584" spans="2:2" x14ac:dyDescent="0.2">
      <c r="B584" s="7"/>
    </row>
    <row r="585" spans="2:2" x14ac:dyDescent="0.2">
      <c r="B585" s="7"/>
    </row>
    <row r="586" spans="2:2" x14ac:dyDescent="0.2">
      <c r="B586" s="7"/>
    </row>
    <row r="587" spans="2:2" x14ac:dyDescent="0.2">
      <c r="B587" s="7"/>
    </row>
    <row r="588" spans="2:2" x14ac:dyDescent="0.2">
      <c r="B588" s="7"/>
    </row>
    <row r="589" spans="2:2" x14ac:dyDescent="0.2">
      <c r="B589" s="7"/>
    </row>
    <row r="590" spans="2:2" x14ac:dyDescent="0.2">
      <c r="B590" s="7"/>
    </row>
    <row r="591" spans="2:2" x14ac:dyDescent="0.2">
      <c r="B591" s="7"/>
    </row>
    <row r="592" spans="2:2" x14ac:dyDescent="0.2">
      <c r="B592" s="7"/>
    </row>
    <row r="593" spans="2:2" x14ac:dyDescent="0.2">
      <c r="B593" s="7"/>
    </row>
    <row r="594" spans="2:2" x14ac:dyDescent="0.2">
      <c r="B594" s="7"/>
    </row>
    <row r="595" spans="2:2" x14ac:dyDescent="0.2">
      <c r="B595" s="7"/>
    </row>
    <row r="596" spans="2:2" x14ac:dyDescent="0.2">
      <c r="B596" s="7"/>
    </row>
    <row r="597" spans="2:2" x14ac:dyDescent="0.2">
      <c r="B597" s="7"/>
    </row>
    <row r="598" spans="2:2" x14ac:dyDescent="0.2">
      <c r="B598" s="7"/>
    </row>
    <row r="599" spans="2:2" x14ac:dyDescent="0.2">
      <c r="B599" s="7"/>
    </row>
    <row r="600" spans="2:2" x14ac:dyDescent="0.2">
      <c r="B600" s="7"/>
    </row>
    <row r="601" spans="2:2" x14ac:dyDescent="0.2">
      <c r="B601" s="7"/>
    </row>
    <row r="602" spans="2:2" x14ac:dyDescent="0.2">
      <c r="B602" s="7"/>
    </row>
    <row r="603" spans="2:2" x14ac:dyDescent="0.2">
      <c r="B603" s="7"/>
    </row>
    <row r="604" spans="2:2" x14ac:dyDescent="0.2">
      <c r="B604" s="7"/>
    </row>
    <row r="605" spans="2:2" x14ac:dyDescent="0.2">
      <c r="B605" s="7"/>
    </row>
    <row r="606" spans="2:2" x14ac:dyDescent="0.2">
      <c r="B606" s="7"/>
    </row>
    <row r="607" spans="2:2" x14ac:dyDescent="0.2">
      <c r="B607" s="7"/>
    </row>
    <row r="608" spans="2:2" x14ac:dyDescent="0.2">
      <c r="B608" s="7"/>
    </row>
    <row r="609" spans="2:2" x14ac:dyDescent="0.2">
      <c r="B609" s="7"/>
    </row>
    <row r="610" spans="2:2" x14ac:dyDescent="0.2">
      <c r="B610" s="7"/>
    </row>
    <row r="611" spans="2:2" x14ac:dyDescent="0.2">
      <c r="B611" s="7"/>
    </row>
    <row r="612" spans="2:2" x14ac:dyDescent="0.2">
      <c r="B612" s="7"/>
    </row>
    <row r="613" spans="2:2" x14ac:dyDescent="0.2">
      <c r="B613" s="7"/>
    </row>
    <row r="614" spans="2:2" x14ac:dyDescent="0.2">
      <c r="B614" s="7"/>
    </row>
    <row r="615" spans="2:2" x14ac:dyDescent="0.2">
      <c r="B615" s="7"/>
    </row>
    <row r="616" spans="2:2" x14ac:dyDescent="0.2">
      <c r="B616" s="7"/>
    </row>
    <row r="617" spans="2:2" x14ac:dyDescent="0.2">
      <c r="B617" s="7"/>
    </row>
    <row r="618" spans="2:2" x14ac:dyDescent="0.2">
      <c r="B618" s="7"/>
    </row>
    <row r="619" spans="2:2" x14ac:dyDescent="0.2">
      <c r="B619" s="7"/>
    </row>
    <row r="620" spans="2:2" x14ac:dyDescent="0.2">
      <c r="B620" s="7"/>
    </row>
    <row r="621" spans="2:2" x14ac:dyDescent="0.2">
      <c r="B621" s="7"/>
    </row>
    <row r="622" spans="2:2" x14ac:dyDescent="0.2">
      <c r="B622" s="7"/>
    </row>
    <row r="623" spans="2:2" x14ac:dyDescent="0.2">
      <c r="B623" s="7"/>
    </row>
    <row r="624" spans="2:2" x14ac:dyDescent="0.2">
      <c r="B624" s="7"/>
    </row>
    <row r="625" spans="2:2" x14ac:dyDescent="0.2">
      <c r="B625" s="7"/>
    </row>
    <row r="626" spans="2:2" x14ac:dyDescent="0.2">
      <c r="B626" s="7"/>
    </row>
    <row r="627" spans="2:2" x14ac:dyDescent="0.2">
      <c r="B627" s="7"/>
    </row>
    <row r="628" spans="2:2" x14ac:dyDescent="0.2">
      <c r="B628" s="7"/>
    </row>
    <row r="629" spans="2:2" x14ac:dyDescent="0.2">
      <c r="B629" s="7"/>
    </row>
    <row r="630" spans="2:2" x14ac:dyDescent="0.2">
      <c r="B630" s="7"/>
    </row>
    <row r="631" spans="2:2" x14ac:dyDescent="0.2">
      <c r="B631" s="7"/>
    </row>
    <row r="632" spans="2:2" x14ac:dyDescent="0.2">
      <c r="B632" s="7"/>
    </row>
    <row r="633" spans="2:2" x14ac:dyDescent="0.2">
      <c r="B633" s="7"/>
    </row>
    <row r="634" spans="2:2" x14ac:dyDescent="0.2">
      <c r="B634" s="7"/>
    </row>
    <row r="635" spans="2:2" x14ac:dyDescent="0.2">
      <c r="B635" s="7"/>
    </row>
    <row r="636" spans="2:2" x14ac:dyDescent="0.2">
      <c r="B636" s="7"/>
    </row>
    <row r="637" spans="2:2" x14ac:dyDescent="0.2">
      <c r="B637" s="7"/>
    </row>
    <row r="638" spans="2:2" x14ac:dyDescent="0.2">
      <c r="B638" s="7"/>
    </row>
    <row r="639" spans="2:2" x14ac:dyDescent="0.2">
      <c r="B639" s="7"/>
    </row>
    <row r="640" spans="2:2" x14ac:dyDescent="0.2">
      <c r="B640" s="7"/>
    </row>
    <row r="641" spans="2:2" x14ac:dyDescent="0.2">
      <c r="B641" s="7"/>
    </row>
    <row r="642" spans="2:2" x14ac:dyDescent="0.2">
      <c r="B642" s="7"/>
    </row>
    <row r="643" spans="2:2" x14ac:dyDescent="0.2">
      <c r="B643" s="7"/>
    </row>
    <row r="644" spans="2:2" x14ac:dyDescent="0.2">
      <c r="B644" s="7"/>
    </row>
    <row r="645" spans="2:2" x14ac:dyDescent="0.2">
      <c r="B645" s="7"/>
    </row>
    <row r="646" spans="2:2" x14ac:dyDescent="0.2">
      <c r="B646" s="7"/>
    </row>
    <row r="647" spans="2:2" x14ac:dyDescent="0.2">
      <c r="B647" s="7"/>
    </row>
    <row r="648" spans="2:2" x14ac:dyDescent="0.2">
      <c r="B648" s="7"/>
    </row>
    <row r="649" spans="2:2" x14ac:dyDescent="0.2">
      <c r="B649" s="7"/>
    </row>
    <row r="650" spans="2:2" x14ac:dyDescent="0.2">
      <c r="B650" s="7"/>
    </row>
    <row r="651" spans="2:2" x14ac:dyDescent="0.2">
      <c r="B651" s="7"/>
    </row>
    <row r="652" spans="2:2" x14ac:dyDescent="0.2">
      <c r="B652" s="7"/>
    </row>
    <row r="653" spans="2:2" x14ac:dyDescent="0.2">
      <c r="B653" s="7"/>
    </row>
    <row r="654" spans="2:2" x14ac:dyDescent="0.2">
      <c r="B654" s="7"/>
    </row>
    <row r="655" spans="2:2" x14ac:dyDescent="0.2">
      <c r="B655" s="7"/>
    </row>
    <row r="656" spans="2:2" x14ac:dyDescent="0.2">
      <c r="B656" s="7"/>
    </row>
    <row r="657" spans="2:2" x14ac:dyDescent="0.2">
      <c r="B657" s="7"/>
    </row>
    <row r="658" spans="2:2" x14ac:dyDescent="0.2">
      <c r="B658" s="7"/>
    </row>
    <row r="659" spans="2:2" x14ac:dyDescent="0.2">
      <c r="B659" s="7"/>
    </row>
    <row r="660" spans="2:2" x14ac:dyDescent="0.2">
      <c r="B660" s="7"/>
    </row>
    <row r="661" spans="2:2" x14ac:dyDescent="0.2">
      <c r="B661" s="7"/>
    </row>
    <row r="662" spans="2:2" x14ac:dyDescent="0.2">
      <c r="B662" s="7"/>
    </row>
    <row r="663" spans="2:2" x14ac:dyDescent="0.2">
      <c r="B663" s="7"/>
    </row>
    <row r="664" spans="2:2" x14ac:dyDescent="0.2">
      <c r="B664" s="7"/>
    </row>
    <row r="665" spans="2:2" x14ac:dyDescent="0.2">
      <c r="B665" s="7"/>
    </row>
    <row r="666" spans="2:2" x14ac:dyDescent="0.2">
      <c r="B666" s="7"/>
    </row>
    <row r="667" spans="2:2" x14ac:dyDescent="0.2">
      <c r="B667" s="7"/>
    </row>
    <row r="668" spans="2:2" x14ac:dyDescent="0.2">
      <c r="B668" s="7"/>
    </row>
    <row r="669" spans="2:2" x14ac:dyDescent="0.2">
      <c r="B669" s="7"/>
    </row>
    <row r="670" spans="2:2" x14ac:dyDescent="0.2">
      <c r="B670" s="7"/>
    </row>
    <row r="671" spans="2:2" x14ac:dyDescent="0.2">
      <c r="B671" s="7"/>
    </row>
    <row r="672" spans="2:2" x14ac:dyDescent="0.2">
      <c r="B672" s="7"/>
    </row>
    <row r="673" spans="2:2" x14ac:dyDescent="0.2">
      <c r="B673" s="7"/>
    </row>
    <row r="674" spans="2:2" x14ac:dyDescent="0.2">
      <c r="B674" s="7"/>
    </row>
    <row r="675" spans="2:2" x14ac:dyDescent="0.2">
      <c r="B675" s="7"/>
    </row>
    <row r="676" spans="2:2" x14ac:dyDescent="0.2">
      <c r="B676" s="7"/>
    </row>
    <row r="677" spans="2:2" x14ac:dyDescent="0.2">
      <c r="B677" s="7"/>
    </row>
    <row r="678" spans="2:2" x14ac:dyDescent="0.2">
      <c r="B678" s="7"/>
    </row>
    <row r="679" spans="2:2" x14ac:dyDescent="0.2">
      <c r="B679" s="7"/>
    </row>
    <row r="680" spans="2:2" x14ac:dyDescent="0.2">
      <c r="B680" s="7"/>
    </row>
    <row r="681" spans="2:2" x14ac:dyDescent="0.2">
      <c r="B681" s="7"/>
    </row>
    <row r="682" spans="2:2" x14ac:dyDescent="0.2">
      <c r="B682" s="7"/>
    </row>
    <row r="683" spans="2:2" x14ac:dyDescent="0.2">
      <c r="B683" s="7"/>
    </row>
    <row r="684" spans="2:2" x14ac:dyDescent="0.2">
      <c r="B684" s="7"/>
    </row>
    <row r="685" spans="2:2" x14ac:dyDescent="0.2">
      <c r="B685" s="7"/>
    </row>
    <row r="686" spans="2:2" x14ac:dyDescent="0.2">
      <c r="B686" s="7"/>
    </row>
    <row r="687" spans="2:2" x14ac:dyDescent="0.2">
      <c r="B687" s="7"/>
    </row>
    <row r="688" spans="2:2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  <row r="770" spans="2:2" x14ac:dyDescent="0.2">
      <c r="B770" s="7"/>
    </row>
    <row r="771" spans="2:2" x14ac:dyDescent="0.2">
      <c r="B771" s="7"/>
    </row>
    <row r="772" spans="2:2" x14ac:dyDescent="0.2">
      <c r="B772" s="7"/>
    </row>
    <row r="773" spans="2:2" x14ac:dyDescent="0.2">
      <c r="B773" s="7"/>
    </row>
    <row r="774" spans="2:2" x14ac:dyDescent="0.2">
      <c r="B774" s="7"/>
    </row>
    <row r="775" spans="2:2" x14ac:dyDescent="0.2">
      <c r="B775" s="7"/>
    </row>
    <row r="776" spans="2:2" x14ac:dyDescent="0.2">
      <c r="B776" s="7"/>
    </row>
    <row r="777" spans="2:2" x14ac:dyDescent="0.2">
      <c r="B777" s="7"/>
    </row>
    <row r="778" spans="2:2" x14ac:dyDescent="0.2">
      <c r="B778" s="7"/>
    </row>
    <row r="779" spans="2:2" x14ac:dyDescent="0.2">
      <c r="B779" s="7"/>
    </row>
    <row r="780" spans="2:2" x14ac:dyDescent="0.2">
      <c r="B780" s="7"/>
    </row>
    <row r="781" spans="2:2" x14ac:dyDescent="0.2">
      <c r="B781" s="7"/>
    </row>
    <row r="782" spans="2:2" x14ac:dyDescent="0.2">
      <c r="B782" s="7"/>
    </row>
    <row r="783" spans="2:2" x14ac:dyDescent="0.2">
      <c r="B783" s="7"/>
    </row>
    <row r="784" spans="2:2" x14ac:dyDescent="0.2">
      <c r="B784" s="7"/>
    </row>
    <row r="785" spans="2:2" x14ac:dyDescent="0.2">
      <c r="B785" s="7"/>
    </row>
    <row r="786" spans="2:2" x14ac:dyDescent="0.2">
      <c r="B786" s="7"/>
    </row>
    <row r="787" spans="2:2" x14ac:dyDescent="0.2">
      <c r="B787" s="7"/>
    </row>
    <row r="788" spans="2:2" x14ac:dyDescent="0.2">
      <c r="B788" s="7"/>
    </row>
    <row r="789" spans="2:2" x14ac:dyDescent="0.2">
      <c r="B789" s="7"/>
    </row>
    <row r="790" spans="2:2" x14ac:dyDescent="0.2">
      <c r="B790" s="7"/>
    </row>
    <row r="791" spans="2:2" x14ac:dyDescent="0.2">
      <c r="B791" s="7"/>
    </row>
    <row r="792" spans="2:2" x14ac:dyDescent="0.2">
      <c r="B792" s="7"/>
    </row>
    <row r="793" spans="2:2" x14ac:dyDescent="0.2">
      <c r="B793" s="7"/>
    </row>
    <row r="794" spans="2:2" x14ac:dyDescent="0.2">
      <c r="B794" s="7"/>
    </row>
    <row r="795" spans="2:2" x14ac:dyDescent="0.2">
      <c r="B795" s="7"/>
    </row>
    <row r="796" spans="2:2" x14ac:dyDescent="0.2">
      <c r="B796" s="7"/>
    </row>
    <row r="797" spans="2:2" x14ac:dyDescent="0.2">
      <c r="B797" s="7"/>
    </row>
    <row r="798" spans="2:2" x14ac:dyDescent="0.2">
      <c r="B798" s="7"/>
    </row>
    <row r="799" spans="2:2" x14ac:dyDescent="0.2">
      <c r="B799" s="7"/>
    </row>
    <row r="800" spans="2:2" x14ac:dyDescent="0.2">
      <c r="B800" s="7"/>
    </row>
    <row r="801" spans="2:2" x14ac:dyDescent="0.2">
      <c r="B801" s="7"/>
    </row>
    <row r="802" spans="2:2" x14ac:dyDescent="0.2">
      <c r="B802" s="7"/>
    </row>
    <row r="803" spans="2:2" x14ac:dyDescent="0.2">
      <c r="B803" s="7"/>
    </row>
    <row r="804" spans="2:2" x14ac:dyDescent="0.2">
      <c r="B804" s="7"/>
    </row>
    <row r="805" spans="2:2" x14ac:dyDescent="0.2">
      <c r="B805" s="7"/>
    </row>
    <row r="806" spans="2:2" x14ac:dyDescent="0.2">
      <c r="B806" s="7"/>
    </row>
    <row r="807" spans="2:2" x14ac:dyDescent="0.2">
      <c r="B807" s="7"/>
    </row>
    <row r="808" spans="2:2" x14ac:dyDescent="0.2">
      <c r="B808" s="7"/>
    </row>
    <row r="809" spans="2:2" x14ac:dyDescent="0.2">
      <c r="B809" s="7"/>
    </row>
    <row r="810" spans="2:2" x14ac:dyDescent="0.2">
      <c r="B810" s="7"/>
    </row>
    <row r="811" spans="2:2" x14ac:dyDescent="0.2">
      <c r="B811" s="7"/>
    </row>
    <row r="812" spans="2:2" x14ac:dyDescent="0.2">
      <c r="B812" s="7"/>
    </row>
    <row r="813" spans="2:2" x14ac:dyDescent="0.2">
      <c r="B813" s="7"/>
    </row>
    <row r="814" spans="2:2" x14ac:dyDescent="0.2">
      <c r="B814" s="7"/>
    </row>
    <row r="815" spans="2:2" x14ac:dyDescent="0.2">
      <c r="B815" s="7"/>
    </row>
    <row r="816" spans="2:2" x14ac:dyDescent="0.2">
      <c r="B816" s="7"/>
    </row>
    <row r="817" spans="2:2" x14ac:dyDescent="0.2">
      <c r="B817" s="7"/>
    </row>
    <row r="818" spans="2:2" x14ac:dyDescent="0.2">
      <c r="B818" s="7"/>
    </row>
    <row r="819" spans="2:2" x14ac:dyDescent="0.2">
      <c r="B819" s="7"/>
    </row>
    <row r="820" spans="2:2" x14ac:dyDescent="0.2">
      <c r="B820" s="7"/>
    </row>
    <row r="821" spans="2:2" x14ac:dyDescent="0.2">
      <c r="B821" s="7"/>
    </row>
    <row r="822" spans="2:2" x14ac:dyDescent="0.2">
      <c r="B822" s="7"/>
    </row>
    <row r="823" spans="2:2" x14ac:dyDescent="0.2">
      <c r="B823" s="7"/>
    </row>
    <row r="824" spans="2:2" x14ac:dyDescent="0.2">
      <c r="B824" s="7"/>
    </row>
    <row r="825" spans="2:2" x14ac:dyDescent="0.2">
      <c r="B825" s="7"/>
    </row>
    <row r="826" spans="2:2" x14ac:dyDescent="0.2">
      <c r="B826" s="7"/>
    </row>
    <row r="827" spans="2:2" x14ac:dyDescent="0.2">
      <c r="B827" s="7"/>
    </row>
    <row r="828" spans="2:2" x14ac:dyDescent="0.2">
      <c r="B828" s="7"/>
    </row>
    <row r="829" spans="2:2" x14ac:dyDescent="0.2">
      <c r="B829" s="7"/>
    </row>
    <row r="830" spans="2:2" x14ac:dyDescent="0.2">
      <c r="B830" s="7"/>
    </row>
    <row r="831" spans="2:2" x14ac:dyDescent="0.2">
      <c r="B831" s="7"/>
    </row>
    <row r="832" spans="2:2" x14ac:dyDescent="0.2">
      <c r="B832" s="7"/>
    </row>
    <row r="833" spans="2:2" x14ac:dyDescent="0.2">
      <c r="B833" s="7"/>
    </row>
    <row r="834" spans="2:2" x14ac:dyDescent="0.2">
      <c r="B834" s="7"/>
    </row>
    <row r="835" spans="2:2" x14ac:dyDescent="0.2">
      <c r="B835" s="7"/>
    </row>
    <row r="836" spans="2:2" x14ac:dyDescent="0.2">
      <c r="B836" s="7"/>
    </row>
    <row r="837" spans="2:2" x14ac:dyDescent="0.2">
      <c r="B837" s="7"/>
    </row>
    <row r="838" spans="2:2" x14ac:dyDescent="0.2">
      <c r="B838" s="7"/>
    </row>
    <row r="839" spans="2:2" x14ac:dyDescent="0.2">
      <c r="B839" s="7"/>
    </row>
    <row r="840" spans="2:2" x14ac:dyDescent="0.2">
      <c r="B840" s="7"/>
    </row>
    <row r="841" spans="2:2" x14ac:dyDescent="0.2">
      <c r="B841" s="7"/>
    </row>
    <row r="842" spans="2:2" x14ac:dyDescent="0.2">
      <c r="B842" s="7"/>
    </row>
    <row r="843" spans="2:2" x14ac:dyDescent="0.2">
      <c r="B843" s="7"/>
    </row>
    <row r="844" spans="2:2" x14ac:dyDescent="0.2">
      <c r="B844" s="7"/>
    </row>
    <row r="845" spans="2:2" x14ac:dyDescent="0.2">
      <c r="B845" s="7"/>
    </row>
    <row r="846" spans="2:2" x14ac:dyDescent="0.2">
      <c r="B846" s="7"/>
    </row>
    <row r="847" spans="2:2" x14ac:dyDescent="0.2">
      <c r="B847" s="7"/>
    </row>
    <row r="848" spans="2:2" x14ac:dyDescent="0.2">
      <c r="B848" s="7"/>
    </row>
    <row r="849" spans="2:2" x14ac:dyDescent="0.2">
      <c r="B849" s="7"/>
    </row>
    <row r="850" spans="2:2" x14ac:dyDescent="0.2">
      <c r="B850" s="7"/>
    </row>
    <row r="851" spans="2:2" x14ac:dyDescent="0.2">
      <c r="B851" s="7"/>
    </row>
    <row r="852" spans="2:2" x14ac:dyDescent="0.2">
      <c r="B852" s="7"/>
    </row>
    <row r="853" spans="2:2" x14ac:dyDescent="0.2">
      <c r="B853" s="7"/>
    </row>
    <row r="854" spans="2:2" x14ac:dyDescent="0.2">
      <c r="B854" s="7"/>
    </row>
    <row r="855" spans="2:2" x14ac:dyDescent="0.2">
      <c r="B855" s="7"/>
    </row>
    <row r="856" spans="2:2" x14ac:dyDescent="0.2">
      <c r="B856" s="7"/>
    </row>
    <row r="857" spans="2:2" x14ac:dyDescent="0.2">
      <c r="B857" s="7"/>
    </row>
    <row r="858" spans="2:2" x14ac:dyDescent="0.2">
      <c r="B858" s="7"/>
    </row>
    <row r="859" spans="2:2" x14ac:dyDescent="0.2">
      <c r="B859" s="7"/>
    </row>
    <row r="860" spans="2:2" x14ac:dyDescent="0.2">
      <c r="B860" s="7"/>
    </row>
    <row r="861" spans="2:2" x14ac:dyDescent="0.2">
      <c r="B861" s="7"/>
    </row>
    <row r="862" spans="2:2" x14ac:dyDescent="0.2">
      <c r="B862" s="7"/>
    </row>
    <row r="863" spans="2:2" x14ac:dyDescent="0.2">
      <c r="B863" s="7"/>
    </row>
    <row r="864" spans="2:2" x14ac:dyDescent="0.2">
      <c r="B864" s="7"/>
    </row>
    <row r="865" spans="2:2" x14ac:dyDescent="0.2">
      <c r="B865" s="7"/>
    </row>
    <row r="866" spans="2:2" x14ac:dyDescent="0.2">
      <c r="B866" s="7"/>
    </row>
    <row r="867" spans="2:2" x14ac:dyDescent="0.2">
      <c r="B867" s="7"/>
    </row>
    <row r="868" spans="2:2" x14ac:dyDescent="0.2">
      <c r="B868" s="7"/>
    </row>
    <row r="869" spans="2:2" x14ac:dyDescent="0.2">
      <c r="B869" s="7"/>
    </row>
    <row r="870" spans="2:2" x14ac:dyDescent="0.2">
      <c r="B870" s="7"/>
    </row>
    <row r="871" spans="2:2" x14ac:dyDescent="0.2">
      <c r="B871" s="7"/>
    </row>
    <row r="872" spans="2:2" x14ac:dyDescent="0.2">
      <c r="B872" s="7"/>
    </row>
    <row r="873" spans="2:2" x14ac:dyDescent="0.2">
      <c r="B873" s="7"/>
    </row>
    <row r="874" spans="2:2" x14ac:dyDescent="0.2">
      <c r="B874" s="7"/>
    </row>
    <row r="875" spans="2:2" x14ac:dyDescent="0.2">
      <c r="B875" s="7"/>
    </row>
    <row r="876" spans="2:2" x14ac:dyDescent="0.2">
      <c r="B876" s="7"/>
    </row>
    <row r="877" spans="2:2" x14ac:dyDescent="0.2">
      <c r="B877" s="7"/>
    </row>
    <row r="878" spans="2:2" x14ac:dyDescent="0.2">
      <c r="B878" s="7"/>
    </row>
    <row r="879" spans="2:2" x14ac:dyDescent="0.2">
      <c r="B879" s="7"/>
    </row>
    <row r="880" spans="2:2" x14ac:dyDescent="0.2">
      <c r="B880" s="7"/>
    </row>
    <row r="881" spans="2:2" x14ac:dyDescent="0.2">
      <c r="B881" s="7"/>
    </row>
    <row r="882" spans="2:2" x14ac:dyDescent="0.2">
      <c r="B882" s="7"/>
    </row>
    <row r="883" spans="2:2" x14ac:dyDescent="0.2">
      <c r="B883" s="7"/>
    </row>
    <row r="884" spans="2:2" x14ac:dyDescent="0.2">
      <c r="B884" s="7"/>
    </row>
    <row r="885" spans="2:2" x14ac:dyDescent="0.2">
      <c r="B885" s="7"/>
    </row>
    <row r="886" spans="2:2" x14ac:dyDescent="0.2">
      <c r="B886" s="7"/>
    </row>
    <row r="887" spans="2:2" x14ac:dyDescent="0.2">
      <c r="B887" s="7"/>
    </row>
    <row r="888" spans="2:2" x14ac:dyDescent="0.2">
      <c r="B888" s="7"/>
    </row>
    <row r="889" spans="2:2" x14ac:dyDescent="0.2">
      <c r="B889" s="7"/>
    </row>
    <row r="890" spans="2:2" x14ac:dyDescent="0.2">
      <c r="B890" s="7"/>
    </row>
    <row r="891" spans="2:2" x14ac:dyDescent="0.2">
      <c r="B891" s="7"/>
    </row>
    <row r="892" spans="2:2" x14ac:dyDescent="0.2">
      <c r="B892" s="7"/>
    </row>
    <row r="893" spans="2:2" x14ac:dyDescent="0.2">
      <c r="B893" s="7"/>
    </row>
    <row r="894" spans="2:2" x14ac:dyDescent="0.2">
      <c r="B894" s="7"/>
    </row>
    <row r="895" spans="2:2" x14ac:dyDescent="0.2">
      <c r="B895" s="7"/>
    </row>
    <row r="896" spans="2:2" x14ac:dyDescent="0.2">
      <c r="B896" s="7"/>
    </row>
    <row r="897" spans="2:2" x14ac:dyDescent="0.2">
      <c r="B897" s="7"/>
    </row>
    <row r="898" spans="2:2" x14ac:dyDescent="0.2">
      <c r="B898" s="7"/>
    </row>
    <row r="899" spans="2:2" x14ac:dyDescent="0.2">
      <c r="B899" s="7"/>
    </row>
    <row r="900" spans="2:2" x14ac:dyDescent="0.2">
      <c r="B900" s="7"/>
    </row>
    <row r="901" spans="2:2" x14ac:dyDescent="0.2">
      <c r="B901" s="7"/>
    </row>
    <row r="902" spans="2:2" x14ac:dyDescent="0.2">
      <c r="B902" s="7"/>
    </row>
    <row r="903" spans="2:2" x14ac:dyDescent="0.2">
      <c r="B903" s="7"/>
    </row>
    <row r="904" spans="2:2" x14ac:dyDescent="0.2">
      <c r="B904" s="7"/>
    </row>
    <row r="905" spans="2:2" x14ac:dyDescent="0.2">
      <c r="B905" s="7"/>
    </row>
    <row r="906" spans="2:2" x14ac:dyDescent="0.2">
      <c r="B906" s="7"/>
    </row>
    <row r="907" spans="2:2" x14ac:dyDescent="0.2">
      <c r="B907" s="7"/>
    </row>
    <row r="908" spans="2:2" x14ac:dyDescent="0.2">
      <c r="B908" s="7"/>
    </row>
    <row r="909" spans="2:2" x14ac:dyDescent="0.2">
      <c r="B909" s="7"/>
    </row>
    <row r="910" spans="2:2" x14ac:dyDescent="0.2">
      <c r="B910" s="7"/>
    </row>
    <row r="911" spans="2:2" x14ac:dyDescent="0.2">
      <c r="B911" s="7"/>
    </row>
    <row r="912" spans="2:2" x14ac:dyDescent="0.2">
      <c r="B912" s="7"/>
    </row>
    <row r="913" spans="2:2" x14ac:dyDescent="0.2">
      <c r="B913" s="7"/>
    </row>
    <row r="914" spans="2:2" x14ac:dyDescent="0.2">
      <c r="B914" s="7"/>
    </row>
    <row r="915" spans="2:2" x14ac:dyDescent="0.2">
      <c r="B915" s="7"/>
    </row>
    <row r="916" spans="2:2" x14ac:dyDescent="0.2">
      <c r="B916" s="7"/>
    </row>
    <row r="917" spans="2:2" x14ac:dyDescent="0.2">
      <c r="B917" s="7"/>
    </row>
    <row r="918" spans="2:2" x14ac:dyDescent="0.2">
      <c r="B918" s="7"/>
    </row>
    <row r="919" spans="2:2" x14ac:dyDescent="0.2">
      <c r="B919" s="7"/>
    </row>
    <row r="920" spans="2:2" x14ac:dyDescent="0.2">
      <c r="B920" s="7"/>
    </row>
    <row r="921" spans="2:2" x14ac:dyDescent="0.2">
      <c r="B921" s="7"/>
    </row>
    <row r="922" spans="2:2" x14ac:dyDescent="0.2">
      <c r="B922" s="7"/>
    </row>
    <row r="923" spans="2:2" x14ac:dyDescent="0.2">
      <c r="B923" s="7"/>
    </row>
    <row r="924" spans="2:2" x14ac:dyDescent="0.2">
      <c r="B924" s="7"/>
    </row>
    <row r="925" spans="2:2" x14ac:dyDescent="0.2">
      <c r="B925" s="7"/>
    </row>
    <row r="926" spans="2:2" x14ac:dyDescent="0.2">
      <c r="B926" s="7"/>
    </row>
    <row r="927" spans="2:2" x14ac:dyDescent="0.2">
      <c r="B927" s="7"/>
    </row>
    <row r="928" spans="2:2" x14ac:dyDescent="0.2">
      <c r="B928" s="7"/>
    </row>
    <row r="929" spans="2:2" x14ac:dyDescent="0.2">
      <c r="B929" s="7"/>
    </row>
    <row r="930" spans="2:2" x14ac:dyDescent="0.2">
      <c r="B930" s="7"/>
    </row>
    <row r="931" spans="2:2" x14ac:dyDescent="0.2">
      <c r="B931" s="7"/>
    </row>
    <row r="932" spans="2:2" x14ac:dyDescent="0.2">
      <c r="B932" s="7"/>
    </row>
    <row r="933" spans="2:2" x14ac:dyDescent="0.2">
      <c r="B933" s="7"/>
    </row>
    <row r="934" spans="2:2" x14ac:dyDescent="0.2">
      <c r="B934" s="7"/>
    </row>
    <row r="935" spans="2:2" x14ac:dyDescent="0.2">
      <c r="B935" s="7"/>
    </row>
    <row r="936" spans="2:2" x14ac:dyDescent="0.2">
      <c r="B936" s="7"/>
    </row>
    <row r="937" spans="2:2" x14ac:dyDescent="0.2">
      <c r="B937" s="7"/>
    </row>
    <row r="938" spans="2:2" x14ac:dyDescent="0.2">
      <c r="B938" s="7"/>
    </row>
    <row r="939" spans="2:2" x14ac:dyDescent="0.2">
      <c r="B939" s="7"/>
    </row>
    <row r="940" spans="2:2" x14ac:dyDescent="0.2">
      <c r="B940" s="7"/>
    </row>
    <row r="941" spans="2:2" x14ac:dyDescent="0.2">
      <c r="B941" s="7"/>
    </row>
    <row r="942" spans="2:2" x14ac:dyDescent="0.2">
      <c r="B942" s="7"/>
    </row>
    <row r="943" spans="2:2" x14ac:dyDescent="0.2">
      <c r="B943" s="7"/>
    </row>
    <row r="944" spans="2:2" x14ac:dyDescent="0.2">
      <c r="B944" s="7"/>
    </row>
    <row r="945" spans="2:2" x14ac:dyDescent="0.2">
      <c r="B945" s="7"/>
    </row>
    <row r="946" spans="2:2" x14ac:dyDescent="0.2">
      <c r="B946" s="7"/>
    </row>
    <row r="947" spans="2:2" x14ac:dyDescent="0.2">
      <c r="B947" s="7"/>
    </row>
    <row r="948" spans="2:2" x14ac:dyDescent="0.2">
      <c r="B948" s="7"/>
    </row>
    <row r="949" spans="2:2" x14ac:dyDescent="0.2">
      <c r="B949" s="7"/>
    </row>
    <row r="950" spans="2:2" x14ac:dyDescent="0.2">
      <c r="B950" s="7"/>
    </row>
    <row r="951" spans="2:2" x14ac:dyDescent="0.2">
      <c r="B951" s="7"/>
    </row>
    <row r="952" spans="2:2" x14ac:dyDescent="0.2">
      <c r="B952" s="7"/>
    </row>
    <row r="953" spans="2:2" x14ac:dyDescent="0.2">
      <c r="B953" s="7"/>
    </row>
    <row r="954" spans="2:2" x14ac:dyDescent="0.2">
      <c r="B954" s="7"/>
    </row>
    <row r="955" spans="2:2" x14ac:dyDescent="0.2">
      <c r="B955" s="7"/>
    </row>
    <row r="956" spans="2:2" x14ac:dyDescent="0.2">
      <c r="B956" s="7"/>
    </row>
    <row r="957" spans="2:2" x14ac:dyDescent="0.2">
      <c r="B957" s="7"/>
    </row>
    <row r="958" spans="2:2" x14ac:dyDescent="0.2">
      <c r="B958" s="7"/>
    </row>
    <row r="959" spans="2:2" x14ac:dyDescent="0.2">
      <c r="B959" s="7"/>
    </row>
    <row r="960" spans="2:2" x14ac:dyDescent="0.2">
      <c r="B960" s="7"/>
    </row>
    <row r="961" spans="2:2" x14ac:dyDescent="0.2">
      <c r="B961" s="7"/>
    </row>
    <row r="962" spans="2:2" x14ac:dyDescent="0.2">
      <c r="B962" s="7"/>
    </row>
    <row r="963" spans="2:2" x14ac:dyDescent="0.2">
      <c r="B963" s="7"/>
    </row>
    <row r="964" spans="2:2" x14ac:dyDescent="0.2">
      <c r="B964" s="7"/>
    </row>
    <row r="965" spans="2:2" x14ac:dyDescent="0.2">
      <c r="B965" s="7"/>
    </row>
    <row r="966" spans="2:2" x14ac:dyDescent="0.2">
      <c r="B966" s="7"/>
    </row>
    <row r="967" spans="2:2" x14ac:dyDescent="0.2">
      <c r="B967" s="7"/>
    </row>
    <row r="968" spans="2:2" x14ac:dyDescent="0.2">
      <c r="B968" s="7"/>
    </row>
    <row r="969" spans="2:2" x14ac:dyDescent="0.2">
      <c r="B969" s="7"/>
    </row>
    <row r="970" spans="2:2" x14ac:dyDescent="0.2">
      <c r="B970" s="7"/>
    </row>
    <row r="971" spans="2:2" x14ac:dyDescent="0.2">
      <c r="B971" s="7"/>
    </row>
    <row r="972" spans="2:2" x14ac:dyDescent="0.2">
      <c r="B972" s="7"/>
    </row>
    <row r="973" spans="2:2" x14ac:dyDescent="0.2">
      <c r="B973" s="7"/>
    </row>
    <row r="974" spans="2:2" x14ac:dyDescent="0.2">
      <c r="B974" s="7"/>
    </row>
    <row r="975" spans="2:2" x14ac:dyDescent="0.2">
      <c r="B975" s="7"/>
    </row>
    <row r="976" spans="2:2" x14ac:dyDescent="0.2">
      <c r="B976" s="7"/>
    </row>
    <row r="977" spans="2:2" x14ac:dyDescent="0.2">
      <c r="B977" s="7"/>
    </row>
    <row r="978" spans="2:2" x14ac:dyDescent="0.2">
      <c r="B978" s="7"/>
    </row>
    <row r="979" spans="2:2" x14ac:dyDescent="0.2">
      <c r="B979" s="7"/>
    </row>
    <row r="980" spans="2:2" x14ac:dyDescent="0.2">
      <c r="B980" s="7"/>
    </row>
    <row r="981" spans="2:2" x14ac:dyDescent="0.2">
      <c r="B981" s="7"/>
    </row>
    <row r="982" spans="2:2" x14ac:dyDescent="0.2">
      <c r="B982" s="7"/>
    </row>
    <row r="983" spans="2:2" x14ac:dyDescent="0.2">
      <c r="B983" s="7"/>
    </row>
    <row r="984" spans="2:2" x14ac:dyDescent="0.2">
      <c r="B984" s="7"/>
    </row>
    <row r="985" spans="2:2" x14ac:dyDescent="0.2">
      <c r="B985" s="7"/>
    </row>
    <row r="986" spans="2:2" x14ac:dyDescent="0.2">
      <c r="B986" s="7"/>
    </row>
    <row r="987" spans="2:2" x14ac:dyDescent="0.2">
      <c r="B987" s="7"/>
    </row>
    <row r="988" spans="2:2" x14ac:dyDescent="0.2">
      <c r="B988" s="7"/>
    </row>
    <row r="989" spans="2:2" x14ac:dyDescent="0.2">
      <c r="B989" s="7"/>
    </row>
    <row r="990" spans="2:2" x14ac:dyDescent="0.2">
      <c r="B990" s="7"/>
    </row>
    <row r="991" spans="2:2" x14ac:dyDescent="0.2">
      <c r="B991" s="7"/>
    </row>
    <row r="992" spans="2:2" x14ac:dyDescent="0.2">
      <c r="B992" s="7"/>
    </row>
    <row r="993" spans="2:2" x14ac:dyDescent="0.2">
      <c r="B993" s="7"/>
    </row>
    <row r="994" spans="2:2" x14ac:dyDescent="0.2">
      <c r="B994" s="7"/>
    </row>
    <row r="995" spans="2:2" x14ac:dyDescent="0.2">
      <c r="B995" s="7"/>
    </row>
    <row r="996" spans="2:2" x14ac:dyDescent="0.2">
      <c r="B996" s="7"/>
    </row>
    <row r="997" spans="2:2" x14ac:dyDescent="0.2">
      <c r="B997" s="7"/>
    </row>
    <row r="998" spans="2:2" x14ac:dyDescent="0.2">
      <c r="B998" s="7"/>
    </row>
    <row r="999" spans="2:2" x14ac:dyDescent="0.2">
      <c r="B999" s="7"/>
    </row>
    <row r="1000" spans="2:2" x14ac:dyDescent="0.2">
      <c r="B1000" s="7"/>
    </row>
    <row r="1001" spans="2:2" x14ac:dyDescent="0.2">
      <c r="B1001" s="7"/>
    </row>
    <row r="1002" spans="2:2" x14ac:dyDescent="0.2">
      <c r="B1002" s="7"/>
    </row>
    <row r="1003" spans="2:2" x14ac:dyDescent="0.2">
      <c r="B1003" s="7"/>
    </row>
    <row r="1004" spans="2:2" x14ac:dyDescent="0.2">
      <c r="B1004" s="7"/>
    </row>
    <row r="1005" spans="2:2" x14ac:dyDescent="0.2">
      <c r="B1005" s="7"/>
    </row>
    <row r="1006" spans="2:2" x14ac:dyDescent="0.2">
      <c r="B1006" s="7"/>
    </row>
    <row r="1007" spans="2:2" x14ac:dyDescent="0.2">
      <c r="B1007" s="7"/>
    </row>
    <row r="1008" spans="2:2" x14ac:dyDescent="0.2">
      <c r="B1008" s="7"/>
    </row>
    <row r="1009" spans="2:2" x14ac:dyDescent="0.2">
      <c r="B1009" s="7"/>
    </row>
    <row r="1010" spans="2:2" x14ac:dyDescent="0.2">
      <c r="B1010" s="7"/>
    </row>
    <row r="1011" spans="2:2" x14ac:dyDescent="0.2">
      <c r="B1011" s="7"/>
    </row>
    <row r="1012" spans="2:2" x14ac:dyDescent="0.2">
      <c r="B1012" s="7"/>
    </row>
    <row r="1013" spans="2:2" x14ac:dyDescent="0.2">
      <c r="B1013" s="7"/>
    </row>
    <row r="1014" spans="2:2" x14ac:dyDescent="0.2">
      <c r="B1014" s="7"/>
    </row>
    <row r="1015" spans="2:2" x14ac:dyDescent="0.2">
      <c r="B1015" s="7"/>
    </row>
    <row r="1016" spans="2:2" x14ac:dyDescent="0.2">
      <c r="B1016" s="7"/>
    </row>
    <row r="1017" spans="2:2" x14ac:dyDescent="0.2">
      <c r="B1017" s="7"/>
    </row>
    <row r="1018" spans="2:2" x14ac:dyDescent="0.2">
      <c r="B1018" s="7"/>
    </row>
    <row r="1019" spans="2:2" x14ac:dyDescent="0.2">
      <c r="B1019" s="7"/>
    </row>
    <row r="1020" spans="2:2" x14ac:dyDescent="0.2">
      <c r="B1020" s="7"/>
    </row>
    <row r="1021" spans="2:2" x14ac:dyDescent="0.2">
      <c r="B1021" s="7"/>
    </row>
    <row r="1022" spans="2:2" x14ac:dyDescent="0.2">
      <c r="B1022" s="7"/>
    </row>
    <row r="1023" spans="2:2" x14ac:dyDescent="0.2">
      <c r="B1023" s="7"/>
    </row>
    <row r="1024" spans="2:2" x14ac:dyDescent="0.2">
      <c r="B1024" s="7"/>
    </row>
    <row r="1025" spans="2:2" x14ac:dyDescent="0.2">
      <c r="B1025" s="7"/>
    </row>
    <row r="1026" spans="2:2" x14ac:dyDescent="0.2">
      <c r="B1026" s="7"/>
    </row>
    <row r="1027" spans="2:2" x14ac:dyDescent="0.2">
      <c r="B1027" s="7"/>
    </row>
    <row r="1028" spans="2:2" x14ac:dyDescent="0.2">
      <c r="B1028" s="7"/>
    </row>
    <row r="1029" spans="2:2" x14ac:dyDescent="0.2">
      <c r="B1029" s="7"/>
    </row>
    <row r="1030" spans="2:2" x14ac:dyDescent="0.2">
      <c r="B1030" s="7"/>
    </row>
    <row r="1031" spans="2:2" x14ac:dyDescent="0.2">
      <c r="B1031" s="7"/>
    </row>
    <row r="1032" spans="2:2" x14ac:dyDescent="0.2">
      <c r="B1032" s="7"/>
    </row>
    <row r="1033" spans="2:2" x14ac:dyDescent="0.2">
      <c r="B1033" s="7"/>
    </row>
    <row r="1034" spans="2:2" x14ac:dyDescent="0.2">
      <c r="B1034" s="7"/>
    </row>
    <row r="1035" spans="2:2" x14ac:dyDescent="0.2">
      <c r="B1035" s="7"/>
    </row>
    <row r="1036" spans="2:2" x14ac:dyDescent="0.2">
      <c r="B1036" s="7"/>
    </row>
    <row r="1037" spans="2:2" x14ac:dyDescent="0.2">
      <c r="B1037" s="7"/>
    </row>
    <row r="1038" spans="2:2" x14ac:dyDescent="0.2">
      <c r="B1038" s="7"/>
    </row>
    <row r="1039" spans="2:2" x14ac:dyDescent="0.2">
      <c r="B1039" s="7"/>
    </row>
    <row r="1040" spans="2:2" x14ac:dyDescent="0.2">
      <c r="B1040" s="7"/>
    </row>
    <row r="1041" spans="2:2" x14ac:dyDescent="0.2">
      <c r="B1041" s="7"/>
    </row>
    <row r="1042" spans="2:2" x14ac:dyDescent="0.2">
      <c r="B1042" s="7"/>
    </row>
    <row r="1043" spans="2:2" x14ac:dyDescent="0.2">
      <c r="B1043" s="7"/>
    </row>
    <row r="1044" spans="2:2" x14ac:dyDescent="0.2">
      <c r="B1044" s="7"/>
    </row>
    <row r="1045" spans="2:2" x14ac:dyDescent="0.2">
      <c r="B1045" s="7"/>
    </row>
    <row r="1046" spans="2:2" x14ac:dyDescent="0.2">
      <c r="B1046" s="7"/>
    </row>
    <row r="1047" spans="2:2" x14ac:dyDescent="0.2">
      <c r="B1047" s="7"/>
    </row>
    <row r="1048" spans="2:2" x14ac:dyDescent="0.2">
      <c r="B1048" s="7"/>
    </row>
    <row r="1049" spans="2:2" x14ac:dyDescent="0.2">
      <c r="B1049" s="7"/>
    </row>
    <row r="1050" spans="2:2" x14ac:dyDescent="0.2">
      <c r="B1050" s="7"/>
    </row>
    <row r="1051" spans="2:2" x14ac:dyDescent="0.2">
      <c r="B1051" s="7"/>
    </row>
    <row r="1052" spans="2:2" x14ac:dyDescent="0.2">
      <c r="B1052" s="7"/>
    </row>
    <row r="1053" spans="2:2" x14ac:dyDescent="0.2">
      <c r="B1053" s="7"/>
    </row>
    <row r="1054" spans="2:2" x14ac:dyDescent="0.2">
      <c r="B1054" s="7"/>
    </row>
    <row r="1055" spans="2:2" x14ac:dyDescent="0.2">
      <c r="B1055" s="7"/>
    </row>
    <row r="1056" spans="2:2" x14ac:dyDescent="0.2">
      <c r="B1056" s="7"/>
    </row>
    <row r="1057" spans="2:2" x14ac:dyDescent="0.2">
      <c r="B1057" s="7"/>
    </row>
    <row r="1058" spans="2:2" x14ac:dyDescent="0.2">
      <c r="B1058" s="7"/>
    </row>
    <row r="1059" spans="2:2" x14ac:dyDescent="0.2">
      <c r="B1059" s="7"/>
    </row>
    <row r="1060" spans="2:2" x14ac:dyDescent="0.2">
      <c r="B1060" s="7"/>
    </row>
    <row r="1061" spans="2:2" x14ac:dyDescent="0.2">
      <c r="B1061" s="7"/>
    </row>
    <row r="1062" spans="2:2" x14ac:dyDescent="0.2">
      <c r="B1062" s="7"/>
    </row>
    <row r="1063" spans="2:2" x14ac:dyDescent="0.2">
      <c r="B1063" s="7"/>
    </row>
    <row r="1064" spans="2:2" x14ac:dyDescent="0.2">
      <c r="B1064" s="7"/>
    </row>
    <row r="1065" spans="2:2" x14ac:dyDescent="0.2">
      <c r="B1065" s="7"/>
    </row>
    <row r="1066" spans="2:2" x14ac:dyDescent="0.2">
      <c r="B1066" s="7"/>
    </row>
    <row r="1067" spans="2:2" x14ac:dyDescent="0.2">
      <c r="B1067" s="7"/>
    </row>
    <row r="1068" spans="2:2" x14ac:dyDescent="0.2">
      <c r="B1068" s="7"/>
    </row>
    <row r="1069" spans="2:2" x14ac:dyDescent="0.2">
      <c r="B1069" s="7"/>
    </row>
    <row r="1070" spans="2:2" x14ac:dyDescent="0.2">
      <c r="B1070" s="7"/>
    </row>
    <row r="1071" spans="2:2" x14ac:dyDescent="0.2">
      <c r="B1071" s="7"/>
    </row>
    <row r="1072" spans="2:2" x14ac:dyDescent="0.2">
      <c r="B1072" s="7"/>
    </row>
    <row r="1073" spans="2:2" x14ac:dyDescent="0.2">
      <c r="B1073" s="7"/>
    </row>
    <row r="1074" spans="2:2" x14ac:dyDescent="0.2">
      <c r="B1074" s="7"/>
    </row>
    <row r="1075" spans="2:2" x14ac:dyDescent="0.2">
      <c r="B1075" s="7"/>
    </row>
    <row r="1076" spans="2:2" x14ac:dyDescent="0.2">
      <c r="B1076" s="7"/>
    </row>
    <row r="1077" spans="2:2" x14ac:dyDescent="0.2">
      <c r="B1077" s="7"/>
    </row>
    <row r="1078" spans="2:2" x14ac:dyDescent="0.2">
      <c r="B1078" s="7"/>
    </row>
    <row r="1079" spans="2:2" x14ac:dyDescent="0.2">
      <c r="B1079" s="7"/>
    </row>
    <row r="1080" spans="2:2" x14ac:dyDescent="0.2">
      <c r="B1080" s="7"/>
    </row>
    <row r="1081" spans="2:2" x14ac:dyDescent="0.2">
      <c r="B1081" s="7"/>
    </row>
    <row r="1082" spans="2:2" x14ac:dyDescent="0.2">
      <c r="B1082" s="7"/>
    </row>
    <row r="1083" spans="2:2" x14ac:dyDescent="0.2">
      <c r="B1083" s="7"/>
    </row>
    <row r="1084" spans="2:2" x14ac:dyDescent="0.2">
      <c r="B1084" s="7"/>
    </row>
    <row r="1085" spans="2:2" x14ac:dyDescent="0.2">
      <c r="B1085" s="7"/>
    </row>
    <row r="1086" spans="2:2" x14ac:dyDescent="0.2">
      <c r="B1086" s="7"/>
    </row>
    <row r="1087" spans="2:2" x14ac:dyDescent="0.2">
      <c r="B1087" s="7"/>
    </row>
    <row r="1088" spans="2:2" x14ac:dyDescent="0.2">
      <c r="B1088" s="7"/>
    </row>
    <row r="1089" spans="2:2" x14ac:dyDescent="0.2">
      <c r="B1089" s="7"/>
    </row>
    <row r="1090" spans="2:2" x14ac:dyDescent="0.2">
      <c r="B1090" s="7"/>
    </row>
    <row r="1091" spans="2:2" x14ac:dyDescent="0.2">
      <c r="B1091" s="7"/>
    </row>
    <row r="1092" spans="2:2" x14ac:dyDescent="0.2">
      <c r="B1092" s="7"/>
    </row>
    <row r="1093" spans="2:2" x14ac:dyDescent="0.2">
      <c r="B1093" s="7"/>
    </row>
    <row r="1094" spans="2:2" x14ac:dyDescent="0.2">
      <c r="B1094" s="7"/>
    </row>
    <row r="1095" spans="2:2" x14ac:dyDescent="0.2">
      <c r="B1095" s="7"/>
    </row>
    <row r="1096" spans="2:2" x14ac:dyDescent="0.2">
      <c r="B1096" s="7"/>
    </row>
    <row r="1097" spans="2:2" x14ac:dyDescent="0.2">
      <c r="B1097" s="7"/>
    </row>
    <row r="1098" spans="2:2" x14ac:dyDescent="0.2">
      <c r="B1098" s="7"/>
    </row>
    <row r="1099" spans="2:2" x14ac:dyDescent="0.2">
      <c r="B1099" s="7"/>
    </row>
    <row r="1100" spans="2:2" x14ac:dyDescent="0.2">
      <c r="B1100" s="7"/>
    </row>
    <row r="1101" spans="2:2" x14ac:dyDescent="0.2">
      <c r="B1101" s="7"/>
    </row>
    <row r="1102" spans="2:2" x14ac:dyDescent="0.2">
      <c r="B1102" s="7"/>
    </row>
    <row r="1103" spans="2:2" x14ac:dyDescent="0.2">
      <c r="B1103" s="7"/>
    </row>
    <row r="1104" spans="2:2" x14ac:dyDescent="0.2">
      <c r="B1104" s="7"/>
    </row>
    <row r="1105" spans="2:2" x14ac:dyDescent="0.2">
      <c r="B1105" s="7"/>
    </row>
    <row r="1106" spans="2:2" x14ac:dyDescent="0.2">
      <c r="B1106" s="7"/>
    </row>
    <row r="1107" spans="2:2" x14ac:dyDescent="0.2">
      <c r="B1107" s="7"/>
    </row>
    <row r="1108" spans="2:2" x14ac:dyDescent="0.2">
      <c r="B1108" s="7"/>
    </row>
    <row r="1109" spans="2:2" x14ac:dyDescent="0.2">
      <c r="B1109" s="7"/>
    </row>
    <row r="1110" spans="2:2" x14ac:dyDescent="0.2">
      <c r="B1110" s="7"/>
    </row>
    <row r="1111" spans="2:2" x14ac:dyDescent="0.2">
      <c r="B1111" s="7"/>
    </row>
    <row r="1112" spans="2:2" x14ac:dyDescent="0.2">
      <c r="B1112" s="7"/>
    </row>
    <row r="1113" spans="2:2" x14ac:dyDescent="0.2">
      <c r="B1113" s="7"/>
    </row>
    <row r="1114" spans="2:2" x14ac:dyDescent="0.2">
      <c r="B1114" s="7"/>
    </row>
    <row r="1115" spans="2:2" x14ac:dyDescent="0.2">
      <c r="B1115" s="7"/>
    </row>
    <row r="1116" spans="2:2" x14ac:dyDescent="0.2">
      <c r="B1116" s="7"/>
    </row>
    <row r="1117" spans="2:2" x14ac:dyDescent="0.2">
      <c r="B1117" s="7"/>
    </row>
    <row r="1118" spans="2:2" x14ac:dyDescent="0.2">
      <c r="B1118" s="7"/>
    </row>
    <row r="1119" spans="2:2" x14ac:dyDescent="0.2">
      <c r="B1119" s="7"/>
    </row>
    <row r="1120" spans="2:2" x14ac:dyDescent="0.2">
      <c r="B1120" s="7"/>
    </row>
    <row r="1121" spans="2:2" x14ac:dyDescent="0.2">
      <c r="B1121" s="7"/>
    </row>
    <row r="1122" spans="2:2" x14ac:dyDescent="0.2">
      <c r="B1122" s="7"/>
    </row>
    <row r="1123" spans="2:2" x14ac:dyDescent="0.2">
      <c r="B1123" s="7"/>
    </row>
    <row r="1124" spans="2:2" x14ac:dyDescent="0.2">
      <c r="B1124" s="7"/>
    </row>
    <row r="1125" spans="2:2" x14ac:dyDescent="0.2">
      <c r="B1125" s="7"/>
    </row>
    <row r="1126" spans="2:2" x14ac:dyDescent="0.2">
      <c r="B1126" s="7"/>
    </row>
    <row r="1127" spans="2:2" x14ac:dyDescent="0.2">
      <c r="B1127" s="7"/>
    </row>
    <row r="1128" spans="2:2" x14ac:dyDescent="0.2">
      <c r="B1128" s="7"/>
    </row>
    <row r="1129" spans="2:2" x14ac:dyDescent="0.2">
      <c r="B1129" s="7"/>
    </row>
    <row r="1130" spans="2:2" x14ac:dyDescent="0.2">
      <c r="B1130" s="7"/>
    </row>
    <row r="1131" spans="2:2" x14ac:dyDescent="0.2">
      <c r="B1131" s="7"/>
    </row>
    <row r="1132" spans="2:2" x14ac:dyDescent="0.2">
      <c r="B1132" s="7"/>
    </row>
    <row r="1133" spans="2:2" x14ac:dyDescent="0.2">
      <c r="B1133" s="7"/>
    </row>
    <row r="1134" spans="2:2" x14ac:dyDescent="0.2">
      <c r="B1134" s="7"/>
    </row>
    <row r="1135" spans="2:2" x14ac:dyDescent="0.2">
      <c r="B1135" s="7"/>
    </row>
    <row r="1136" spans="2:2" x14ac:dyDescent="0.2">
      <c r="B1136" s="7"/>
    </row>
    <row r="1137" spans="2:2" x14ac:dyDescent="0.2">
      <c r="B1137" s="7"/>
    </row>
    <row r="1138" spans="2:2" x14ac:dyDescent="0.2">
      <c r="B1138" s="7"/>
    </row>
    <row r="1139" spans="2:2" x14ac:dyDescent="0.2">
      <c r="B1139" s="7"/>
    </row>
    <row r="1140" spans="2:2" x14ac:dyDescent="0.2">
      <c r="B1140" s="7"/>
    </row>
    <row r="1141" spans="2:2" x14ac:dyDescent="0.2">
      <c r="B1141" s="7"/>
    </row>
    <row r="1142" spans="2:2" x14ac:dyDescent="0.2">
      <c r="B1142" s="7"/>
    </row>
    <row r="1143" spans="2:2" x14ac:dyDescent="0.2">
      <c r="B1143" s="7"/>
    </row>
    <row r="1144" spans="2:2" x14ac:dyDescent="0.2">
      <c r="B1144" s="7"/>
    </row>
    <row r="1145" spans="2:2" x14ac:dyDescent="0.2">
      <c r="B1145" s="7"/>
    </row>
    <row r="1146" spans="2:2" x14ac:dyDescent="0.2">
      <c r="B1146" s="7"/>
    </row>
    <row r="1147" spans="2:2" x14ac:dyDescent="0.2">
      <c r="B1147" s="7"/>
    </row>
    <row r="1148" spans="2:2" x14ac:dyDescent="0.2">
      <c r="B1148" s="7"/>
    </row>
    <row r="1149" spans="2:2" x14ac:dyDescent="0.2">
      <c r="B1149" s="7"/>
    </row>
    <row r="1150" spans="2:2" x14ac:dyDescent="0.2">
      <c r="B1150" s="7"/>
    </row>
    <row r="1151" spans="2:2" x14ac:dyDescent="0.2">
      <c r="B1151" s="7"/>
    </row>
    <row r="1152" spans="2:2" x14ac:dyDescent="0.2">
      <c r="B1152" s="7"/>
    </row>
    <row r="1153" spans="2:2" x14ac:dyDescent="0.2">
      <c r="B1153" s="7"/>
    </row>
    <row r="1154" spans="2:2" x14ac:dyDescent="0.2">
      <c r="B1154" s="7"/>
    </row>
    <row r="1155" spans="2:2" x14ac:dyDescent="0.2">
      <c r="B1155" s="7"/>
    </row>
    <row r="1156" spans="2:2" x14ac:dyDescent="0.2">
      <c r="B1156" s="7"/>
    </row>
    <row r="1157" spans="2:2" x14ac:dyDescent="0.2">
      <c r="B1157" s="7"/>
    </row>
    <row r="1158" spans="2:2" x14ac:dyDescent="0.2">
      <c r="B1158" s="7"/>
    </row>
    <row r="1159" spans="2:2" x14ac:dyDescent="0.2">
      <c r="B1159" s="7"/>
    </row>
    <row r="1160" spans="2:2" x14ac:dyDescent="0.2">
      <c r="B1160" s="7"/>
    </row>
    <row r="1161" spans="2:2" x14ac:dyDescent="0.2">
      <c r="B1161" s="7"/>
    </row>
    <row r="1162" spans="2:2" x14ac:dyDescent="0.2">
      <c r="B1162" s="7"/>
    </row>
    <row r="1163" spans="2:2" x14ac:dyDescent="0.2">
      <c r="B1163" s="7"/>
    </row>
    <row r="1164" spans="2:2" x14ac:dyDescent="0.2">
      <c r="B1164" s="7"/>
    </row>
    <row r="1165" spans="2:2" x14ac:dyDescent="0.2">
      <c r="B1165" s="7"/>
    </row>
    <row r="1166" spans="2:2" x14ac:dyDescent="0.2">
      <c r="B1166" s="7"/>
    </row>
    <row r="1167" spans="2:2" x14ac:dyDescent="0.2">
      <c r="B1167" s="7"/>
    </row>
    <row r="1168" spans="2:2" x14ac:dyDescent="0.2">
      <c r="B1168" s="7"/>
    </row>
    <row r="1169" spans="2:2" x14ac:dyDescent="0.2">
      <c r="B1169" s="7"/>
    </row>
    <row r="1170" spans="2:2" x14ac:dyDescent="0.2">
      <c r="B1170" s="7"/>
    </row>
    <row r="1171" spans="2:2" x14ac:dyDescent="0.2">
      <c r="B1171" s="7"/>
    </row>
    <row r="1172" spans="2:2" x14ac:dyDescent="0.2">
      <c r="B1172" s="7"/>
    </row>
    <row r="1173" spans="2:2" x14ac:dyDescent="0.2">
      <c r="B1173" s="7"/>
    </row>
    <row r="1174" spans="2:2" x14ac:dyDescent="0.2">
      <c r="B1174" s="7"/>
    </row>
    <row r="1175" spans="2:2" x14ac:dyDescent="0.2">
      <c r="B1175" s="7"/>
    </row>
    <row r="1176" spans="2:2" x14ac:dyDescent="0.2">
      <c r="B1176" s="7"/>
    </row>
    <row r="1177" spans="2:2" x14ac:dyDescent="0.2">
      <c r="B1177" s="7"/>
    </row>
    <row r="1178" spans="2:2" x14ac:dyDescent="0.2">
      <c r="B1178" s="7"/>
    </row>
    <row r="1179" spans="2:2" x14ac:dyDescent="0.2">
      <c r="B1179" s="7"/>
    </row>
    <row r="1180" spans="2:2" x14ac:dyDescent="0.2">
      <c r="B1180" s="7"/>
    </row>
    <row r="1181" spans="2:2" x14ac:dyDescent="0.2">
      <c r="B1181" s="7"/>
    </row>
    <row r="1182" spans="2:2" x14ac:dyDescent="0.2">
      <c r="B1182" s="7"/>
    </row>
    <row r="1183" spans="2:2" x14ac:dyDescent="0.2">
      <c r="B1183" s="7"/>
    </row>
    <row r="1184" spans="2:2" x14ac:dyDescent="0.2">
      <c r="B1184" s="7"/>
    </row>
    <row r="1185" spans="2:2" x14ac:dyDescent="0.2">
      <c r="B1185" s="7"/>
    </row>
    <row r="1186" spans="2:2" x14ac:dyDescent="0.2">
      <c r="B1186" s="7"/>
    </row>
    <row r="1187" spans="2:2" x14ac:dyDescent="0.2">
      <c r="B1187" s="7"/>
    </row>
    <row r="1188" spans="2:2" x14ac:dyDescent="0.2">
      <c r="B1188" s="7"/>
    </row>
    <row r="1189" spans="2:2" x14ac:dyDescent="0.2">
      <c r="B1189" s="7"/>
    </row>
    <row r="1190" spans="2:2" x14ac:dyDescent="0.2">
      <c r="B1190" s="7"/>
    </row>
    <row r="1191" spans="2:2" x14ac:dyDescent="0.2">
      <c r="B1191" s="7"/>
    </row>
    <row r="1192" spans="2:2" x14ac:dyDescent="0.2">
      <c r="B1192" s="7"/>
    </row>
    <row r="1193" spans="2:2" x14ac:dyDescent="0.2">
      <c r="B1193" s="7"/>
    </row>
    <row r="1194" spans="2:2" x14ac:dyDescent="0.2">
      <c r="B1194" s="7"/>
    </row>
    <row r="1195" spans="2:2" x14ac:dyDescent="0.2">
      <c r="B1195" s="7"/>
    </row>
    <row r="1196" spans="2:2" x14ac:dyDescent="0.2">
      <c r="B1196" s="7"/>
    </row>
    <row r="1197" spans="2:2" x14ac:dyDescent="0.2">
      <c r="B1197" s="7"/>
    </row>
    <row r="1198" spans="2:2" x14ac:dyDescent="0.2">
      <c r="B1198" s="7"/>
    </row>
    <row r="1199" spans="2:2" x14ac:dyDescent="0.2">
      <c r="B1199" s="7"/>
    </row>
    <row r="1200" spans="2:2" x14ac:dyDescent="0.2">
      <c r="B1200" s="7"/>
    </row>
    <row r="1201" spans="2:2" x14ac:dyDescent="0.2">
      <c r="B1201" s="7"/>
    </row>
    <row r="1202" spans="2:2" x14ac:dyDescent="0.2">
      <c r="B1202" s="7"/>
    </row>
    <row r="1203" spans="2:2" x14ac:dyDescent="0.2">
      <c r="B1203" s="7"/>
    </row>
    <row r="1204" spans="2:2" x14ac:dyDescent="0.2">
      <c r="B1204" s="7"/>
    </row>
    <row r="1205" spans="2:2" x14ac:dyDescent="0.2">
      <c r="B1205" s="7"/>
    </row>
    <row r="1206" spans="2:2" x14ac:dyDescent="0.2">
      <c r="B1206" s="7"/>
    </row>
    <row r="1207" spans="2:2" x14ac:dyDescent="0.2">
      <c r="B1207" s="7"/>
    </row>
    <row r="1208" spans="2:2" x14ac:dyDescent="0.2">
      <c r="B1208" s="7"/>
    </row>
    <row r="1209" spans="2:2" x14ac:dyDescent="0.2">
      <c r="B1209" s="7"/>
    </row>
    <row r="1210" spans="2:2" x14ac:dyDescent="0.2">
      <c r="B1210" s="7"/>
    </row>
    <row r="1211" spans="2:2" x14ac:dyDescent="0.2">
      <c r="B1211" s="7"/>
    </row>
    <row r="1212" spans="2:2" x14ac:dyDescent="0.2">
      <c r="B1212" s="7"/>
    </row>
    <row r="1213" spans="2:2" x14ac:dyDescent="0.2">
      <c r="B1213" s="7"/>
    </row>
    <row r="1214" spans="2:2" x14ac:dyDescent="0.2">
      <c r="B1214" s="7"/>
    </row>
    <row r="1215" spans="2:2" x14ac:dyDescent="0.2">
      <c r="B1215" s="7"/>
    </row>
    <row r="1216" spans="2:2" x14ac:dyDescent="0.2">
      <c r="B1216" s="7"/>
    </row>
    <row r="1217" spans="2:2" x14ac:dyDescent="0.2">
      <c r="B1217" s="7"/>
    </row>
    <row r="1218" spans="2:2" x14ac:dyDescent="0.2">
      <c r="B1218" s="7"/>
    </row>
    <row r="1219" spans="2:2" x14ac:dyDescent="0.2">
      <c r="B1219" s="7"/>
    </row>
    <row r="1220" spans="2:2" x14ac:dyDescent="0.2">
      <c r="B1220" s="7"/>
    </row>
    <row r="1221" spans="2:2" x14ac:dyDescent="0.2">
      <c r="B1221" s="7"/>
    </row>
    <row r="1222" spans="2:2" x14ac:dyDescent="0.2">
      <c r="B1222" s="7"/>
    </row>
    <row r="1223" spans="2:2" x14ac:dyDescent="0.2">
      <c r="B1223" s="7"/>
    </row>
    <row r="1224" spans="2:2" x14ac:dyDescent="0.2">
      <c r="B1224" s="7"/>
    </row>
    <row r="1225" spans="2:2" x14ac:dyDescent="0.2">
      <c r="B1225" s="7"/>
    </row>
    <row r="1226" spans="2:2" x14ac:dyDescent="0.2">
      <c r="B1226" s="7"/>
    </row>
    <row r="1227" spans="2:2" x14ac:dyDescent="0.2">
      <c r="B1227" s="7"/>
    </row>
    <row r="1228" spans="2:2" x14ac:dyDescent="0.2">
      <c r="B1228" s="7"/>
    </row>
    <row r="1229" spans="2:2" x14ac:dyDescent="0.2">
      <c r="B1229" s="7"/>
    </row>
    <row r="1230" spans="2:2" x14ac:dyDescent="0.2">
      <c r="B1230" s="7"/>
    </row>
    <row r="1231" spans="2:2" x14ac:dyDescent="0.2">
      <c r="B1231" s="7"/>
    </row>
    <row r="1232" spans="2:2" x14ac:dyDescent="0.2">
      <c r="B1232" s="7"/>
    </row>
    <row r="1233" spans="2:2" x14ac:dyDescent="0.2">
      <c r="B1233" s="7"/>
    </row>
    <row r="1234" spans="2:2" x14ac:dyDescent="0.2">
      <c r="B1234" s="7"/>
    </row>
    <row r="1235" spans="2:2" x14ac:dyDescent="0.2">
      <c r="B1235" s="7"/>
    </row>
    <row r="1236" spans="2:2" x14ac:dyDescent="0.2">
      <c r="B1236" s="7"/>
    </row>
    <row r="1237" spans="2:2" x14ac:dyDescent="0.2">
      <c r="B1237" s="7"/>
    </row>
    <row r="1238" spans="2:2" x14ac:dyDescent="0.2">
      <c r="B1238" s="7"/>
    </row>
    <row r="1239" spans="2:2" x14ac:dyDescent="0.2">
      <c r="B1239" s="7"/>
    </row>
    <row r="1240" spans="2:2" x14ac:dyDescent="0.2">
      <c r="B1240" s="7"/>
    </row>
    <row r="1241" spans="2:2" x14ac:dyDescent="0.2">
      <c r="B1241" s="7"/>
    </row>
    <row r="1242" spans="2:2" x14ac:dyDescent="0.2">
      <c r="B1242" s="7"/>
    </row>
    <row r="1243" spans="2:2" x14ac:dyDescent="0.2">
      <c r="B1243" s="7"/>
    </row>
    <row r="1244" spans="2:2" x14ac:dyDescent="0.2">
      <c r="B1244" s="7"/>
    </row>
    <row r="1245" spans="2:2" x14ac:dyDescent="0.2">
      <c r="B1245" s="7"/>
    </row>
    <row r="1246" spans="2:2" x14ac:dyDescent="0.2">
      <c r="B1246" s="7"/>
    </row>
    <row r="1247" spans="2:2" x14ac:dyDescent="0.2">
      <c r="B1247" s="7"/>
    </row>
    <row r="1248" spans="2:2" x14ac:dyDescent="0.2">
      <c r="B1248" s="7"/>
    </row>
    <row r="1249" spans="2:2" x14ac:dyDescent="0.2">
      <c r="B1249" s="7"/>
    </row>
    <row r="1250" spans="2:2" x14ac:dyDescent="0.2">
      <c r="B1250" s="7"/>
    </row>
    <row r="1251" spans="2:2" x14ac:dyDescent="0.2">
      <c r="B1251" s="7"/>
    </row>
    <row r="1252" spans="2:2" x14ac:dyDescent="0.2">
      <c r="B1252" s="7"/>
    </row>
    <row r="1253" spans="2:2" x14ac:dyDescent="0.2">
      <c r="B1253" s="7"/>
    </row>
    <row r="1254" spans="2:2" x14ac:dyDescent="0.2">
      <c r="B1254" s="7"/>
    </row>
    <row r="1255" spans="2:2" x14ac:dyDescent="0.2">
      <c r="B1255" s="7"/>
    </row>
    <row r="1256" spans="2:2" x14ac:dyDescent="0.2">
      <c r="B1256" s="7"/>
    </row>
    <row r="1257" spans="2:2" x14ac:dyDescent="0.2">
      <c r="B1257" s="7"/>
    </row>
    <row r="1258" spans="2:2" x14ac:dyDescent="0.2">
      <c r="B1258" s="7"/>
    </row>
    <row r="1259" spans="2:2" x14ac:dyDescent="0.2">
      <c r="B1259" s="7"/>
    </row>
    <row r="1260" spans="2:2" x14ac:dyDescent="0.2">
      <c r="B1260" s="7"/>
    </row>
    <row r="1261" spans="2:2" x14ac:dyDescent="0.2">
      <c r="B1261" s="7"/>
    </row>
    <row r="1262" spans="2:2" x14ac:dyDescent="0.2">
      <c r="B1262" s="7"/>
    </row>
    <row r="1263" spans="2:2" x14ac:dyDescent="0.2">
      <c r="B1263" s="7"/>
    </row>
    <row r="1264" spans="2:2" x14ac:dyDescent="0.2">
      <c r="B1264" s="7"/>
    </row>
    <row r="1265" spans="2:2" x14ac:dyDescent="0.2">
      <c r="B1265" s="7"/>
    </row>
    <row r="1266" spans="2:2" x14ac:dyDescent="0.2">
      <c r="B1266" s="7"/>
    </row>
    <row r="1267" spans="2:2" x14ac:dyDescent="0.2">
      <c r="B1267" s="7"/>
    </row>
    <row r="1268" spans="2:2" x14ac:dyDescent="0.2">
      <c r="B1268" s="7"/>
    </row>
    <row r="1269" spans="2:2" x14ac:dyDescent="0.2">
      <c r="B1269" s="7"/>
    </row>
    <row r="1270" spans="2:2" x14ac:dyDescent="0.2">
      <c r="B1270" s="7"/>
    </row>
    <row r="1271" spans="2:2" x14ac:dyDescent="0.2">
      <c r="B1271" s="7"/>
    </row>
    <row r="1272" spans="2:2" x14ac:dyDescent="0.2">
      <c r="B1272" s="7"/>
    </row>
    <row r="1273" spans="2:2" x14ac:dyDescent="0.2">
      <c r="B1273" s="7"/>
    </row>
    <row r="1274" spans="2:2" x14ac:dyDescent="0.2">
      <c r="B1274" s="7"/>
    </row>
    <row r="1275" spans="2:2" x14ac:dyDescent="0.2">
      <c r="B1275" s="7"/>
    </row>
    <row r="1276" spans="2:2" x14ac:dyDescent="0.2">
      <c r="B1276" s="7"/>
    </row>
    <row r="1277" spans="2:2" x14ac:dyDescent="0.2">
      <c r="B1277" s="7"/>
    </row>
    <row r="1278" spans="2:2" x14ac:dyDescent="0.2">
      <c r="B1278" s="7"/>
    </row>
    <row r="1279" spans="2:2" x14ac:dyDescent="0.2">
      <c r="B1279" s="7"/>
    </row>
    <row r="1280" spans="2:2" x14ac:dyDescent="0.2">
      <c r="B1280" s="7"/>
    </row>
    <row r="1281" spans="2:2" x14ac:dyDescent="0.2">
      <c r="B1281" s="7"/>
    </row>
    <row r="1282" spans="2:2" x14ac:dyDescent="0.2">
      <c r="B1282" s="7"/>
    </row>
    <row r="1283" spans="2:2" x14ac:dyDescent="0.2">
      <c r="B1283" s="7"/>
    </row>
    <row r="1284" spans="2:2" x14ac:dyDescent="0.2">
      <c r="B1284" s="7"/>
    </row>
    <row r="1285" spans="2:2" x14ac:dyDescent="0.2">
      <c r="B1285" s="7"/>
    </row>
    <row r="1286" spans="2:2" x14ac:dyDescent="0.2">
      <c r="B1286" s="7"/>
    </row>
    <row r="1287" spans="2:2" x14ac:dyDescent="0.2">
      <c r="B1287" s="7"/>
    </row>
    <row r="1288" spans="2:2" x14ac:dyDescent="0.2">
      <c r="B1288" s="7"/>
    </row>
    <row r="1289" spans="2:2" x14ac:dyDescent="0.2">
      <c r="B1289" s="7"/>
    </row>
    <row r="1290" spans="2:2" x14ac:dyDescent="0.2">
      <c r="B1290" s="7"/>
    </row>
    <row r="1291" spans="2:2" x14ac:dyDescent="0.2">
      <c r="B1291" s="7"/>
    </row>
    <row r="1292" spans="2:2" x14ac:dyDescent="0.2">
      <c r="B1292" s="7"/>
    </row>
    <row r="1293" spans="2:2" x14ac:dyDescent="0.2">
      <c r="B1293" s="7"/>
    </row>
    <row r="1294" spans="2:2" x14ac:dyDescent="0.2">
      <c r="B1294" s="7"/>
    </row>
    <row r="1295" spans="2:2" x14ac:dyDescent="0.2">
      <c r="B1295" s="7"/>
    </row>
    <row r="1296" spans="2:2" x14ac:dyDescent="0.2">
      <c r="B1296" s="7"/>
    </row>
    <row r="1297" spans="2:2" x14ac:dyDescent="0.2">
      <c r="B1297" s="7"/>
    </row>
    <row r="1298" spans="2:2" x14ac:dyDescent="0.2">
      <c r="B1298" s="7"/>
    </row>
    <row r="1299" spans="2:2" x14ac:dyDescent="0.2">
      <c r="B1299" s="7"/>
    </row>
    <row r="1300" spans="2:2" x14ac:dyDescent="0.2">
      <c r="B1300" s="7"/>
    </row>
    <row r="1301" spans="2:2" x14ac:dyDescent="0.2">
      <c r="B1301" s="7"/>
    </row>
    <row r="1302" spans="2:2" x14ac:dyDescent="0.2">
      <c r="B1302" s="7"/>
    </row>
    <row r="1303" spans="2:2" x14ac:dyDescent="0.2">
      <c r="B1303" s="7"/>
    </row>
    <row r="1304" spans="2:2" x14ac:dyDescent="0.2">
      <c r="B1304" s="7"/>
    </row>
    <row r="1305" spans="2:2" x14ac:dyDescent="0.2">
      <c r="B1305" s="7"/>
    </row>
    <row r="1306" spans="2:2" x14ac:dyDescent="0.2">
      <c r="B1306" s="7"/>
    </row>
    <row r="1307" spans="2:2" x14ac:dyDescent="0.2">
      <c r="B1307" s="7"/>
    </row>
    <row r="1308" spans="2:2" x14ac:dyDescent="0.2">
      <c r="B1308" s="7"/>
    </row>
    <row r="1309" spans="2:2" x14ac:dyDescent="0.2">
      <c r="B1309" s="7"/>
    </row>
    <row r="1310" spans="2:2" x14ac:dyDescent="0.2">
      <c r="B1310" s="7"/>
    </row>
    <row r="1311" spans="2:2" x14ac:dyDescent="0.2">
      <c r="B1311" s="7"/>
    </row>
    <row r="1312" spans="2:2" x14ac:dyDescent="0.2">
      <c r="B1312" s="7"/>
    </row>
    <row r="1313" spans="2:2" x14ac:dyDescent="0.2">
      <c r="B1313" s="7"/>
    </row>
    <row r="1314" spans="2:2" x14ac:dyDescent="0.2">
      <c r="B1314" s="7"/>
    </row>
    <row r="1315" spans="2:2" x14ac:dyDescent="0.2">
      <c r="B1315" s="7"/>
    </row>
    <row r="1316" spans="2:2" x14ac:dyDescent="0.2">
      <c r="B1316" s="7"/>
    </row>
    <row r="1317" spans="2:2" x14ac:dyDescent="0.2">
      <c r="B1317" s="7"/>
    </row>
    <row r="1318" spans="2:2" x14ac:dyDescent="0.2">
      <c r="B1318" s="7"/>
    </row>
    <row r="1319" spans="2:2" x14ac:dyDescent="0.2">
      <c r="B1319" s="7"/>
    </row>
    <row r="1320" spans="2:2" x14ac:dyDescent="0.2">
      <c r="B1320" s="7"/>
    </row>
    <row r="1321" spans="2:2" x14ac:dyDescent="0.2">
      <c r="B1321" s="7"/>
    </row>
    <row r="1322" spans="2:2" x14ac:dyDescent="0.2">
      <c r="B1322" s="7"/>
    </row>
    <row r="1323" spans="2:2" x14ac:dyDescent="0.2">
      <c r="B1323" s="7"/>
    </row>
    <row r="1324" spans="2:2" x14ac:dyDescent="0.2">
      <c r="B1324" s="7"/>
    </row>
    <row r="1325" spans="2:2" x14ac:dyDescent="0.2">
      <c r="B1325" s="7"/>
    </row>
    <row r="1326" spans="2:2" x14ac:dyDescent="0.2">
      <c r="B1326" s="7"/>
    </row>
    <row r="1327" spans="2:2" x14ac:dyDescent="0.2">
      <c r="B1327" s="7"/>
    </row>
    <row r="1328" spans="2:2" x14ac:dyDescent="0.2">
      <c r="B1328" s="7"/>
    </row>
    <row r="1329" spans="2:2" x14ac:dyDescent="0.2">
      <c r="B1329" s="7"/>
    </row>
    <row r="1330" spans="2:2" x14ac:dyDescent="0.2">
      <c r="B1330" s="7"/>
    </row>
    <row r="1331" spans="2:2" x14ac:dyDescent="0.2">
      <c r="B1331" s="7"/>
    </row>
    <row r="1332" spans="2:2" x14ac:dyDescent="0.2">
      <c r="B1332" s="7"/>
    </row>
    <row r="1333" spans="2:2" x14ac:dyDescent="0.2">
      <c r="B1333" s="7"/>
    </row>
    <row r="1334" spans="2:2" x14ac:dyDescent="0.2">
      <c r="B1334" s="7"/>
    </row>
    <row r="1335" spans="2:2" x14ac:dyDescent="0.2">
      <c r="B1335" s="7"/>
    </row>
    <row r="1336" spans="2:2" x14ac:dyDescent="0.2">
      <c r="B1336" s="7"/>
    </row>
    <row r="1337" spans="2:2" x14ac:dyDescent="0.2">
      <c r="B1337" s="7"/>
    </row>
    <row r="1338" spans="2:2" x14ac:dyDescent="0.2">
      <c r="B1338" s="7"/>
    </row>
    <row r="1339" spans="2:2" x14ac:dyDescent="0.2">
      <c r="B1339" s="7"/>
    </row>
    <row r="1340" spans="2:2" x14ac:dyDescent="0.2">
      <c r="B1340" s="7"/>
    </row>
    <row r="1341" spans="2:2" x14ac:dyDescent="0.2">
      <c r="B1341" s="7"/>
    </row>
    <row r="1342" spans="2:2" x14ac:dyDescent="0.2">
      <c r="B1342" s="7"/>
    </row>
    <row r="1343" spans="2:2" x14ac:dyDescent="0.2">
      <c r="B1343" s="7"/>
    </row>
    <row r="1344" spans="2:2" x14ac:dyDescent="0.2">
      <c r="B1344" s="7"/>
    </row>
    <row r="1345" spans="2:2" x14ac:dyDescent="0.2">
      <c r="B1345" s="7"/>
    </row>
    <row r="1346" spans="2:2" x14ac:dyDescent="0.2">
      <c r="B1346" s="7"/>
    </row>
    <row r="1347" spans="2:2" x14ac:dyDescent="0.2">
      <c r="B1347" s="7"/>
    </row>
    <row r="1348" spans="2:2" x14ac:dyDescent="0.2">
      <c r="B1348" s="7"/>
    </row>
    <row r="1349" spans="2:2" x14ac:dyDescent="0.2">
      <c r="B1349" s="7"/>
    </row>
    <row r="1350" spans="2:2" x14ac:dyDescent="0.2">
      <c r="B1350" s="7"/>
    </row>
    <row r="1351" spans="2:2" x14ac:dyDescent="0.2">
      <c r="B1351" s="7"/>
    </row>
    <row r="1352" spans="2:2" x14ac:dyDescent="0.2">
      <c r="B1352" s="7"/>
    </row>
    <row r="1353" spans="2:2" x14ac:dyDescent="0.2">
      <c r="B1353" s="7"/>
    </row>
    <row r="1354" spans="2:2" x14ac:dyDescent="0.2">
      <c r="B1354" s="7"/>
    </row>
    <row r="1355" spans="2:2" x14ac:dyDescent="0.2">
      <c r="B1355" s="7"/>
    </row>
    <row r="1356" spans="2:2" x14ac:dyDescent="0.2">
      <c r="B1356" s="7"/>
    </row>
    <row r="1357" spans="2:2" x14ac:dyDescent="0.2">
      <c r="B1357" s="7"/>
    </row>
    <row r="1358" spans="2:2" x14ac:dyDescent="0.2">
      <c r="B1358" s="7"/>
    </row>
    <row r="1359" spans="2:2" x14ac:dyDescent="0.2">
      <c r="B1359" s="7"/>
    </row>
    <row r="1360" spans="2:2" x14ac:dyDescent="0.2">
      <c r="B1360" s="7"/>
    </row>
    <row r="1361" spans="2:2" x14ac:dyDescent="0.2">
      <c r="B1361" s="7"/>
    </row>
    <row r="1362" spans="2:2" x14ac:dyDescent="0.2">
      <c r="B1362" s="7"/>
    </row>
    <row r="1363" spans="2:2" x14ac:dyDescent="0.2">
      <c r="B1363" s="7"/>
    </row>
    <row r="1364" spans="2:2" x14ac:dyDescent="0.2">
      <c r="B1364" s="7"/>
    </row>
    <row r="1365" spans="2:2" x14ac:dyDescent="0.2">
      <c r="B1365" s="7"/>
    </row>
    <row r="1366" spans="2:2" x14ac:dyDescent="0.2">
      <c r="B1366" s="7"/>
    </row>
    <row r="1367" spans="2:2" x14ac:dyDescent="0.2">
      <c r="B1367" s="7"/>
    </row>
    <row r="1368" spans="2:2" x14ac:dyDescent="0.2">
      <c r="B1368" s="7"/>
    </row>
    <row r="1369" spans="2:2" x14ac:dyDescent="0.2">
      <c r="B1369" s="7"/>
    </row>
    <row r="1370" spans="2:2" x14ac:dyDescent="0.2">
      <c r="B1370" s="7"/>
    </row>
    <row r="1371" spans="2:2" x14ac:dyDescent="0.2">
      <c r="B1371" s="7"/>
    </row>
    <row r="1372" spans="2:2" x14ac:dyDescent="0.2">
      <c r="B1372" s="7"/>
    </row>
    <row r="1373" spans="2:2" x14ac:dyDescent="0.2">
      <c r="B1373" s="7"/>
    </row>
    <row r="1374" spans="2:2" x14ac:dyDescent="0.2">
      <c r="B1374" s="7"/>
    </row>
    <row r="1375" spans="2:2" x14ac:dyDescent="0.2">
      <c r="B1375" s="7"/>
    </row>
    <row r="1376" spans="2:2" x14ac:dyDescent="0.2">
      <c r="B1376" s="7"/>
    </row>
    <row r="1377" spans="2:2" x14ac:dyDescent="0.2">
      <c r="B1377" s="7"/>
    </row>
    <row r="1378" spans="2:2" x14ac:dyDescent="0.2">
      <c r="B1378" s="7"/>
    </row>
    <row r="1379" spans="2:2" x14ac:dyDescent="0.2">
      <c r="B1379" s="7"/>
    </row>
    <row r="1380" spans="2:2" x14ac:dyDescent="0.2">
      <c r="B1380" s="7"/>
    </row>
    <row r="1381" spans="2:2" x14ac:dyDescent="0.2">
      <c r="B1381" s="7"/>
    </row>
    <row r="1382" spans="2:2" x14ac:dyDescent="0.2">
      <c r="B1382" s="7"/>
    </row>
    <row r="1383" spans="2:2" x14ac:dyDescent="0.2">
      <c r="B1383" s="7"/>
    </row>
    <row r="1384" spans="2:2" x14ac:dyDescent="0.2">
      <c r="B1384" s="7"/>
    </row>
    <row r="1385" spans="2:2" x14ac:dyDescent="0.2">
      <c r="B1385" s="7"/>
    </row>
    <row r="1386" spans="2:2" x14ac:dyDescent="0.2">
      <c r="B1386" s="7"/>
    </row>
    <row r="1387" spans="2:2" x14ac:dyDescent="0.2">
      <c r="B1387" s="7"/>
    </row>
    <row r="1388" spans="2:2" x14ac:dyDescent="0.2">
      <c r="B1388" s="7"/>
    </row>
    <row r="1389" spans="2:2" x14ac:dyDescent="0.2">
      <c r="B1389" s="7"/>
    </row>
    <row r="1390" spans="2:2" x14ac:dyDescent="0.2">
      <c r="B1390" s="7"/>
    </row>
    <row r="1391" spans="2:2" x14ac:dyDescent="0.2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2.75" x14ac:dyDescent="0.2"/>
  <cols>
    <col min="1" max="1" width="5.85546875" style="14" bestFit="1" customWidth="1"/>
    <col min="2" max="2" width="12.140625" customWidth="1"/>
    <col min="3" max="3" width="14.5703125" customWidth="1"/>
    <col min="4" max="4" width="17.42578125" customWidth="1"/>
    <col min="5" max="5" width="12.140625" customWidth="1"/>
    <col min="6" max="6" width="17.7109375" customWidth="1"/>
    <col min="7" max="7" width="9.5703125" customWidth="1"/>
    <col min="8" max="8" width="17.42578125" customWidth="1"/>
  </cols>
  <sheetData>
    <row r="1" spans="1:8" x14ac:dyDescent="0.2">
      <c r="C1" s="4" t="s">
        <v>96</v>
      </c>
    </row>
    <row r="2" spans="1:8" x14ac:dyDescent="0.2">
      <c r="C2" s="4" t="s">
        <v>97</v>
      </c>
    </row>
    <row r="3" spans="1:8" x14ac:dyDescent="0.2">
      <c r="C3" s="4"/>
    </row>
    <row r="4" spans="1:8" x14ac:dyDescent="0.2">
      <c r="B4" s="12" t="s">
        <v>82</v>
      </c>
      <c r="C4" s="4"/>
      <c r="D4" s="99">
        <f>B61</f>
        <v>44463</v>
      </c>
    </row>
    <row r="5" spans="1:8" x14ac:dyDescent="0.2">
      <c r="C5" s="4"/>
    </row>
    <row r="6" spans="1:8" ht="13.5" thickBot="1" x14ac:dyDescent="0.25"/>
    <row r="7" spans="1:8" x14ac:dyDescent="0.2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5" thickBot="1" x14ac:dyDescent="0.25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5" x14ac:dyDescent="0.25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5" x14ac:dyDescent="0.25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5" x14ac:dyDescent="0.25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5" x14ac:dyDescent="0.25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5" x14ac:dyDescent="0.25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5" x14ac:dyDescent="0.25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5" x14ac:dyDescent="0.25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5" x14ac:dyDescent="0.25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5" x14ac:dyDescent="0.25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5" x14ac:dyDescent="0.25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5" x14ac:dyDescent="0.25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5" x14ac:dyDescent="0.25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5" x14ac:dyDescent="0.25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5" x14ac:dyDescent="0.25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5" x14ac:dyDescent="0.25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5" x14ac:dyDescent="0.25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5" x14ac:dyDescent="0.25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5" x14ac:dyDescent="0.25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5" x14ac:dyDescent="0.25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5" x14ac:dyDescent="0.25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5" x14ac:dyDescent="0.25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5" x14ac:dyDescent="0.25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5" x14ac:dyDescent="0.25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5" x14ac:dyDescent="0.25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5" x14ac:dyDescent="0.25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5" x14ac:dyDescent="0.25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5" x14ac:dyDescent="0.25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5" x14ac:dyDescent="0.25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5" x14ac:dyDescent="0.25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5" x14ac:dyDescent="0.25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5" x14ac:dyDescent="0.25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5" x14ac:dyDescent="0.25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5" x14ac:dyDescent="0.25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5" x14ac:dyDescent="0.25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5" x14ac:dyDescent="0.25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5" x14ac:dyDescent="0.25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5" x14ac:dyDescent="0.25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5" x14ac:dyDescent="0.25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5" x14ac:dyDescent="0.25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5" x14ac:dyDescent="0.25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5" x14ac:dyDescent="0.25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5" x14ac:dyDescent="0.25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5" x14ac:dyDescent="0.25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5" x14ac:dyDescent="0.25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5" x14ac:dyDescent="0.25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5" x14ac:dyDescent="0.25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5" x14ac:dyDescent="0.25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5" x14ac:dyDescent="0.25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5" x14ac:dyDescent="0.25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5" x14ac:dyDescent="0.25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5" x14ac:dyDescent="0.25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.75" thickBot="1" x14ac:dyDescent="0.3">
      <c r="A61" s="109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">
      <c r="B62" s="7"/>
      <c r="D62" s="3"/>
    </row>
    <row r="63" spans="1:8" x14ac:dyDescent="0.2">
      <c r="B63" s="7"/>
    </row>
    <row r="64" spans="1:8" x14ac:dyDescent="0.2">
      <c r="B64" s="7"/>
    </row>
    <row r="65" spans="2:3" x14ac:dyDescent="0.2">
      <c r="B65" s="7"/>
    </row>
    <row r="66" spans="2:3" x14ac:dyDescent="0.2">
      <c r="B66" s="7"/>
      <c r="C66" s="5"/>
    </row>
    <row r="67" spans="2:3" x14ac:dyDescent="0.2">
      <c r="B67" s="7"/>
      <c r="C67" s="5"/>
    </row>
    <row r="68" spans="2:3" x14ac:dyDescent="0.2">
      <c r="B68" s="7"/>
    </row>
    <row r="69" spans="2:3" x14ac:dyDescent="0.2">
      <c r="B69" s="7"/>
    </row>
    <row r="70" spans="2:3" x14ac:dyDescent="0.2">
      <c r="B70" s="7"/>
    </row>
    <row r="71" spans="2:3" x14ac:dyDescent="0.2">
      <c r="B71" s="7"/>
    </row>
    <row r="72" spans="2:3" x14ac:dyDescent="0.2">
      <c r="B72" s="7"/>
    </row>
    <row r="73" spans="2:3" x14ac:dyDescent="0.2">
      <c r="B73" s="7"/>
    </row>
    <row r="74" spans="2:3" x14ac:dyDescent="0.2">
      <c r="B74" s="7"/>
    </row>
    <row r="75" spans="2:3" x14ac:dyDescent="0.2">
      <c r="B75" s="7"/>
    </row>
    <row r="76" spans="2:3" x14ac:dyDescent="0.2">
      <c r="B76" s="7"/>
    </row>
    <row r="77" spans="2:3" x14ac:dyDescent="0.2">
      <c r="B77" s="7"/>
    </row>
    <row r="78" spans="2:3" x14ac:dyDescent="0.2">
      <c r="B78" s="7"/>
    </row>
    <row r="79" spans="2:3" x14ac:dyDescent="0.2">
      <c r="B79" s="7"/>
    </row>
    <row r="80" spans="2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2:2" x14ac:dyDescent="0.2">
      <c r="B513" s="7"/>
    </row>
    <row r="514" spans="2:2" x14ac:dyDescent="0.2">
      <c r="B514" s="7"/>
    </row>
    <row r="515" spans="2:2" x14ac:dyDescent="0.2">
      <c r="B515" s="7"/>
    </row>
    <row r="516" spans="2:2" x14ac:dyDescent="0.2">
      <c r="B516" s="7"/>
    </row>
    <row r="517" spans="2:2" x14ac:dyDescent="0.2">
      <c r="B517" s="7"/>
    </row>
    <row r="518" spans="2:2" x14ac:dyDescent="0.2">
      <c r="B518" s="7"/>
    </row>
    <row r="519" spans="2:2" x14ac:dyDescent="0.2">
      <c r="B519" s="7"/>
    </row>
    <row r="520" spans="2:2" x14ac:dyDescent="0.2">
      <c r="B520" s="7"/>
    </row>
    <row r="521" spans="2:2" x14ac:dyDescent="0.2">
      <c r="B521" s="7"/>
    </row>
    <row r="522" spans="2:2" x14ac:dyDescent="0.2">
      <c r="B522" s="7"/>
    </row>
    <row r="523" spans="2:2" x14ac:dyDescent="0.2">
      <c r="B523" s="7"/>
    </row>
    <row r="524" spans="2:2" x14ac:dyDescent="0.2">
      <c r="B524" s="7"/>
    </row>
    <row r="525" spans="2:2" x14ac:dyDescent="0.2">
      <c r="B525" s="7"/>
    </row>
    <row r="526" spans="2:2" x14ac:dyDescent="0.2">
      <c r="B526" s="7"/>
    </row>
    <row r="527" spans="2:2" x14ac:dyDescent="0.2">
      <c r="B527" s="7"/>
    </row>
    <row r="528" spans="2:2" x14ac:dyDescent="0.2">
      <c r="B528" s="7"/>
    </row>
    <row r="529" spans="2:2" x14ac:dyDescent="0.2">
      <c r="B529" s="7"/>
    </row>
    <row r="530" spans="2:2" x14ac:dyDescent="0.2">
      <c r="B530" s="7"/>
    </row>
    <row r="531" spans="2:2" x14ac:dyDescent="0.2">
      <c r="B531" s="7"/>
    </row>
    <row r="532" spans="2:2" x14ac:dyDescent="0.2">
      <c r="B532" s="7"/>
    </row>
    <row r="533" spans="2:2" x14ac:dyDescent="0.2">
      <c r="B533" s="7"/>
    </row>
    <row r="534" spans="2:2" x14ac:dyDescent="0.2">
      <c r="B534" s="7"/>
    </row>
    <row r="535" spans="2:2" x14ac:dyDescent="0.2">
      <c r="B535" s="7"/>
    </row>
    <row r="536" spans="2:2" x14ac:dyDescent="0.2">
      <c r="B536" s="7"/>
    </row>
    <row r="537" spans="2:2" x14ac:dyDescent="0.2">
      <c r="B537" s="7"/>
    </row>
    <row r="538" spans="2:2" x14ac:dyDescent="0.2">
      <c r="B538" s="7"/>
    </row>
    <row r="539" spans="2:2" x14ac:dyDescent="0.2">
      <c r="B539" s="7"/>
    </row>
    <row r="540" spans="2:2" x14ac:dyDescent="0.2">
      <c r="B540" s="7"/>
    </row>
    <row r="541" spans="2:2" x14ac:dyDescent="0.2">
      <c r="B541" s="7"/>
    </row>
    <row r="542" spans="2:2" x14ac:dyDescent="0.2">
      <c r="B542" s="7"/>
    </row>
    <row r="543" spans="2:2" x14ac:dyDescent="0.2">
      <c r="B543" s="7"/>
    </row>
    <row r="544" spans="2:2" x14ac:dyDescent="0.2">
      <c r="B544" s="7"/>
    </row>
    <row r="545" spans="2:2" x14ac:dyDescent="0.2">
      <c r="B545" s="7"/>
    </row>
    <row r="546" spans="2:2" x14ac:dyDescent="0.2">
      <c r="B546" s="7"/>
    </row>
    <row r="547" spans="2:2" x14ac:dyDescent="0.2">
      <c r="B547" s="7"/>
    </row>
    <row r="548" spans="2:2" x14ac:dyDescent="0.2">
      <c r="B548" s="7"/>
    </row>
    <row r="549" spans="2:2" x14ac:dyDescent="0.2">
      <c r="B549" s="7"/>
    </row>
    <row r="550" spans="2:2" x14ac:dyDescent="0.2">
      <c r="B550" s="7"/>
    </row>
    <row r="551" spans="2:2" x14ac:dyDescent="0.2">
      <c r="B551" s="7"/>
    </row>
    <row r="552" spans="2:2" x14ac:dyDescent="0.2">
      <c r="B552" s="7"/>
    </row>
    <row r="553" spans="2:2" x14ac:dyDescent="0.2">
      <c r="B553" s="7"/>
    </row>
    <row r="554" spans="2:2" x14ac:dyDescent="0.2">
      <c r="B554" s="7"/>
    </row>
    <row r="555" spans="2:2" x14ac:dyDescent="0.2">
      <c r="B555" s="7"/>
    </row>
    <row r="556" spans="2:2" x14ac:dyDescent="0.2">
      <c r="B556" s="7"/>
    </row>
    <row r="557" spans="2:2" x14ac:dyDescent="0.2">
      <c r="B557" s="7"/>
    </row>
    <row r="558" spans="2:2" x14ac:dyDescent="0.2">
      <c r="B558" s="7"/>
    </row>
    <row r="559" spans="2:2" x14ac:dyDescent="0.2">
      <c r="B559" s="7"/>
    </row>
    <row r="560" spans="2:2" x14ac:dyDescent="0.2">
      <c r="B560" s="7"/>
    </row>
    <row r="561" spans="2:2" x14ac:dyDescent="0.2">
      <c r="B561" s="7"/>
    </row>
    <row r="562" spans="2:2" x14ac:dyDescent="0.2">
      <c r="B562" s="7"/>
    </row>
    <row r="563" spans="2:2" x14ac:dyDescent="0.2">
      <c r="B563" s="7"/>
    </row>
    <row r="564" spans="2:2" x14ac:dyDescent="0.2">
      <c r="B564" s="7"/>
    </row>
    <row r="565" spans="2:2" x14ac:dyDescent="0.2">
      <c r="B565" s="7"/>
    </row>
    <row r="566" spans="2:2" x14ac:dyDescent="0.2">
      <c r="B566" s="7"/>
    </row>
    <row r="567" spans="2:2" x14ac:dyDescent="0.2">
      <c r="B567" s="7"/>
    </row>
    <row r="568" spans="2:2" x14ac:dyDescent="0.2">
      <c r="B568" s="7"/>
    </row>
    <row r="569" spans="2:2" x14ac:dyDescent="0.2">
      <c r="B569" s="7"/>
    </row>
    <row r="570" spans="2:2" x14ac:dyDescent="0.2">
      <c r="B570" s="7"/>
    </row>
    <row r="571" spans="2:2" x14ac:dyDescent="0.2">
      <c r="B571" s="7"/>
    </row>
    <row r="572" spans="2:2" x14ac:dyDescent="0.2">
      <c r="B572" s="7"/>
    </row>
    <row r="573" spans="2:2" x14ac:dyDescent="0.2">
      <c r="B573" s="7"/>
    </row>
    <row r="574" spans="2:2" x14ac:dyDescent="0.2">
      <c r="B574" s="7"/>
    </row>
    <row r="575" spans="2:2" x14ac:dyDescent="0.2">
      <c r="B575" s="7"/>
    </row>
    <row r="576" spans="2:2" x14ac:dyDescent="0.2">
      <c r="B576" s="7"/>
    </row>
    <row r="577" spans="2:2" x14ac:dyDescent="0.2">
      <c r="B577" s="7"/>
    </row>
    <row r="578" spans="2:2" x14ac:dyDescent="0.2">
      <c r="B578" s="7"/>
    </row>
    <row r="579" spans="2:2" x14ac:dyDescent="0.2">
      <c r="B579" s="7"/>
    </row>
    <row r="580" spans="2:2" x14ac:dyDescent="0.2">
      <c r="B580" s="7"/>
    </row>
    <row r="581" spans="2:2" x14ac:dyDescent="0.2">
      <c r="B581" s="7"/>
    </row>
    <row r="582" spans="2:2" x14ac:dyDescent="0.2">
      <c r="B582" s="7"/>
    </row>
    <row r="583" spans="2:2" x14ac:dyDescent="0.2">
      <c r="B583" s="7"/>
    </row>
    <row r="584" spans="2:2" x14ac:dyDescent="0.2">
      <c r="B584" s="7"/>
    </row>
    <row r="585" spans="2:2" x14ac:dyDescent="0.2">
      <c r="B585" s="7"/>
    </row>
    <row r="586" spans="2:2" x14ac:dyDescent="0.2">
      <c r="B586" s="7"/>
    </row>
    <row r="587" spans="2:2" x14ac:dyDescent="0.2">
      <c r="B587" s="7"/>
    </row>
    <row r="588" spans="2:2" x14ac:dyDescent="0.2">
      <c r="B588" s="7"/>
    </row>
    <row r="589" spans="2:2" x14ac:dyDescent="0.2">
      <c r="B589" s="7"/>
    </row>
    <row r="590" spans="2:2" x14ac:dyDescent="0.2">
      <c r="B590" s="7"/>
    </row>
    <row r="591" spans="2:2" x14ac:dyDescent="0.2">
      <c r="B591" s="7"/>
    </row>
    <row r="592" spans="2:2" x14ac:dyDescent="0.2">
      <c r="B592" s="7"/>
    </row>
    <row r="593" spans="2:2" x14ac:dyDescent="0.2">
      <c r="B593" s="7"/>
    </row>
    <row r="594" spans="2:2" x14ac:dyDescent="0.2">
      <c r="B594" s="7"/>
    </row>
    <row r="595" spans="2:2" x14ac:dyDescent="0.2">
      <c r="B595" s="7"/>
    </row>
    <row r="596" spans="2:2" x14ac:dyDescent="0.2">
      <c r="B596" s="7"/>
    </row>
    <row r="597" spans="2:2" x14ac:dyDescent="0.2">
      <c r="B597" s="7"/>
    </row>
    <row r="598" spans="2:2" x14ac:dyDescent="0.2">
      <c r="B598" s="7"/>
    </row>
    <row r="599" spans="2:2" x14ac:dyDescent="0.2">
      <c r="B599" s="7"/>
    </row>
    <row r="600" spans="2:2" x14ac:dyDescent="0.2">
      <c r="B600" s="7"/>
    </row>
    <row r="601" spans="2:2" x14ac:dyDescent="0.2">
      <c r="B601" s="7"/>
    </row>
    <row r="602" spans="2:2" x14ac:dyDescent="0.2">
      <c r="B602" s="7"/>
    </row>
    <row r="603" spans="2:2" x14ac:dyDescent="0.2">
      <c r="B603" s="7"/>
    </row>
    <row r="604" spans="2:2" x14ac:dyDescent="0.2">
      <c r="B604" s="7"/>
    </row>
    <row r="605" spans="2:2" x14ac:dyDescent="0.2">
      <c r="B605" s="7"/>
    </row>
    <row r="606" spans="2:2" x14ac:dyDescent="0.2">
      <c r="B606" s="7"/>
    </row>
    <row r="607" spans="2:2" x14ac:dyDescent="0.2">
      <c r="B607" s="7"/>
    </row>
    <row r="608" spans="2:2" x14ac:dyDescent="0.2">
      <c r="B608" s="7"/>
    </row>
    <row r="609" spans="2:2" x14ac:dyDescent="0.2">
      <c r="B609" s="7"/>
    </row>
    <row r="610" spans="2:2" x14ac:dyDescent="0.2">
      <c r="B610" s="7"/>
    </row>
    <row r="611" spans="2:2" x14ac:dyDescent="0.2">
      <c r="B611" s="7"/>
    </row>
    <row r="612" spans="2:2" x14ac:dyDescent="0.2">
      <c r="B612" s="7"/>
    </row>
    <row r="613" spans="2:2" x14ac:dyDescent="0.2">
      <c r="B613" s="7"/>
    </row>
    <row r="614" spans="2:2" x14ac:dyDescent="0.2">
      <c r="B614" s="7"/>
    </row>
    <row r="615" spans="2:2" x14ac:dyDescent="0.2">
      <c r="B615" s="7"/>
    </row>
    <row r="616" spans="2:2" x14ac:dyDescent="0.2">
      <c r="B616" s="7"/>
    </row>
    <row r="617" spans="2:2" x14ac:dyDescent="0.2">
      <c r="B617" s="7"/>
    </row>
    <row r="618" spans="2:2" x14ac:dyDescent="0.2">
      <c r="B618" s="7"/>
    </row>
    <row r="619" spans="2:2" x14ac:dyDescent="0.2">
      <c r="B619" s="7"/>
    </row>
    <row r="620" spans="2:2" x14ac:dyDescent="0.2">
      <c r="B620" s="7"/>
    </row>
    <row r="621" spans="2:2" x14ac:dyDescent="0.2">
      <c r="B621" s="7"/>
    </row>
    <row r="622" spans="2:2" x14ac:dyDescent="0.2">
      <c r="B622" s="7"/>
    </row>
    <row r="623" spans="2:2" x14ac:dyDescent="0.2">
      <c r="B623" s="7"/>
    </row>
    <row r="624" spans="2:2" x14ac:dyDescent="0.2">
      <c r="B624" s="7"/>
    </row>
    <row r="625" spans="2:2" x14ac:dyDescent="0.2">
      <c r="B625" s="7"/>
    </row>
    <row r="626" spans="2:2" x14ac:dyDescent="0.2">
      <c r="B626" s="7"/>
    </row>
    <row r="627" spans="2:2" x14ac:dyDescent="0.2">
      <c r="B627" s="7"/>
    </row>
    <row r="628" spans="2:2" x14ac:dyDescent="0.2">
      <c r="B628" s="7"/>
    </row>
    <row r="629" spans="2:2" x14ac:dyDescent="0.2">
      <c r="B629" s="7"/>
    </row>
    <row r="630" spans="2:2" x14ac:dyDescent="0.2">
      <c r="B630" s="7"/>
    </row>
    <row r="631" spans="2:2" x14ac:dyDescent="0.2">
      <c r="B631" s="7"/>
    </row>
    <row r="632" spans="2:2" x14ac:dyDescent="0.2">
      <c r="B632" s="7"/>
    </row>
    <row r="633" spans="2:2" x14ac:dyDescent="0.2">
      <c r="B633" s="7"/>
    </row>
    <row r="634" spans="2:2" x14ac:dyDescent="0.2">
      <c r="B634" s="7"/>
    </row>
    <row r="635" spans="2:2" x14ac:dyDescent="0.2">
      <c r="B635" s="7"/>
    </row>
    <row r="636" spans="2:2" x14ac:dyDescent="0.2">
      <c r="B636" s="7"/>
    </row>
    <row r="637" spans="2:2" x14ac:dyDescent="0.2">
      <c r="B637" s="7"/>
    </row>
    <row r="638" spans="2:2" x14ac:dyDescent="0.2">
      <c r="B638" s="7"/>
    </row>
    <row r="639" spans="2:2" x14ac:dyDescent="0.2">
      <c r="B639" s="7"/>
    </row>
    <row r="640" spans="2:2" x14ac:dyDescent="0.2">
      <c r="B640" s="7"/>
    </row>
    <row r="641" spans="2:2" x14ac:dyDescent="0.2">
      <c r="B641" s="7"/>
    </row>
    <row r="642" spans="2:2" x14ac:dyDescent="0.2">
      <c r="B642" s="7"/>
    </row>
    <row r="643" spans="2:2" x14ac:dyDescent="0.2">
      <c r="B643" s="7"/>
    </row>
    <row r="644" spans="2:2" x14ac:dyDescent="0.2">
      <c r="B644" s="7"/>
    </row>
    <row r="645" spans="2:2" x14ac:dyDescent="0.2">
      <c r="B645" s="7"/>
    </row>
    <row r="646" spans="2:2" x14ac:dyDescent="0.2">
      <c r="B646" s="7"/>
    </row>
    <row r="647" spans="2:2" x14ac:dyDescent="0.2">
      <c r="B647" s="7"/>
    </row>
    <row r="648" spans="2:2" x14ac:dyDescent="0.2">
      <c r="B648" s="7"/>
    </row>
    <row r="649" spans="2:2" x14ac:dyDescent="0.2">
      <c r="B649" s="7"/>
    </row>
    <row r="650" spans="2:2" x14ac:dyDescent="0.2">
      <c r="B650" s="7"/>
    </row>
    <row r="651" spans="2:2" x14ac:dyDescent="0.2">
      <c r="B651" s="7"/>
    </row>
    <row r="652" spans="2:2" x14ac:dyDescent="0.2">
      <c r="B652" s="7"/>
    </row>
    <row r="653" spans="2:2" x14ac:dyDescent="0.2">
      <c r="B653" s="7"/>
    </row>
    <row r="654" spans="2:2" x14ac:dyDescent="0.2">
      <c r="B654" s="7"/>
    </row>
    <row r="655" spans="2:2" x14ac:dyDescent="0.2">
      <c r="B655" s="7"/>
    </row>
    <row r="656" spans="2:2" x14ac:dyDescent="0.2">
      <c r="B656" s="7"/>
    </row>
    <row r="657" spans="2:2" x14ac:dyDescent="0.2">
      <c r="B657" s="7"/>
    </row>
    <row r="658" spans="2:2" x14ac:dyDescent="0.2">
      <c r="B658" s="7"/>
    </row>
    <row r="659" spans="2:2" x14ac:dyDescent="0.2">
      <c r="B659" s="7"/>
    </row>
    <row r="660" spans="2:2" x14ac:dyDescent="0.2">
      <c r="B660" s="7"/>
    </row>
    <row r="661" spans="2:2" x14ac:dyDescent="0.2">
      <c r="B661" s="7"/>
    </row>
    <row r="662" spans="2:2" x14ac:dyDescent="0.2">
      <c r="B662" s="7"/>
    </row>
    <row r="663" spans="2:2" x14ac:dyDescent="0.2">
      <c r="B663" s="7"/>
    </row>
    <row r="664" spans="2:2" x14ac:dyDescent="0.2">
      <c r="B664" s="7"/>
    </row>
    <row r="665" spans="2:2" x14ac:dyDescent="0.2">
      <c r="B665" s="7"/>
    </row>
    <row r="666" spans="2:2" x14ac:dyDescent="0.2">
      <c r="B666" s="7"/>
    </row>
    <row r="667" spans="2:2" x14ac:dyDescent="0.2">
      <c r="B667" s="7"/>
    </row>
    <row r="668" spans="2:2" x14ac:dyDescent="0.2">
      <c r="B668" s="7"/>
    </row>
    <row r="669" spans="2:2" x14ac:dyDescent="0.2">
      <c r="B669" s="7"/>
    </row>
    <row r="670" spans="2:2" x14ac:dyDescent="0.2">
      <c r="B670" s="7"/>
    </row>
    <row r="671" spans="2:2" x14ac:dyDescent="0.2">
      <c r="B671" s="7"/>
    </row>
    <row r="672" spans="2:2" x14ac:dyDescent="0.2">
      <c r="B672" s="7"/>
    </row>
    <row r="673" spans="2:2" x14ac:dyDescent="0.2">
      <c r="B673" s="7"/>
    </row>
    <row r="674" spans="2:2" x14ac:dyDescent="0.2">
      <c r="B674" s="7"/>
    </row>
    <row r="675" spans="2:2" x14ac:dyDescent="0.2">
      <c r="B675" s="7"/>
    </row>
    <row r="676" spans="2:2" x14ac:dyDescent="0.2">
      <c r="B676" s="7"/>
    </row>
    <row r="677" spans="2:2" x14ac:dyDescent="0.2">
      <c r="B677" s="7"/>
    </row>
    <row r="678" spans="2:2" x14ac:dyDescent="0.2">
      <c r="B678" s="7"/>
    </row>
    <row r="679" spans="2:2" x14ac:dyDescent="0.2">
      <c r="B679" s="7"/>
    </row>
    <row r="680" spans="2:2" x14ac:dyDescent="0.2">
      <c r="B680" s="7"/>
    </row>
    <row r="681" spans="2:2" x14ac:dyDescent="0.2">
      <c r="B681" s="7"/>
    </row>
    <row r="682" spans="2:2" x14ac:dyDescent="0.2">
      <c r="B682" s="7"/>
    </row>
    <row r="683" spans="2:2" x14ac:dyDescent="0.2">
      <c r="B683" s="7"/>
    </row>
    <row r="684" spans="2:2" x14ac:dyDescent="0.2">
      <c r="B684" s="7"/>
    </row>
    <row r="685" spans="2:2" x14ac:dyDescent="0.2">
      <c r="B685" s="7"/>
    </row>
    <row r="686" spans="2:2" x14ac:dyDescent="0.2">
      <c r="B686" s="7"/>
    </row>
    <row r="687" spans="2:2" x14ac:dyDescent="0.2">
      <c r="B687" s="7"/>
    </row>
    <row r="688" spans="2:2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  <row r="770" spans="2:2" x14ac:dyDescent="0.2">
      <c r="B770" s="7"/>
    </row>
    <row r="771" spans="2:2" x14ac:dyDescent="0.2">
      <c r="B771" s="7"/>
    </row>
    <row r="772" spans="2:2" x14ac:dyDescent="0.2">
      <c r="B772" s="7"/>
    </row>
    <row r="773" spans="2:2" x14ac:dyDescent="0.2">
      <c r="B773" s="7"/>
    </row>
    <row r="774" spans="2:2" x14ac:dyDescent="0.2">
      <c r="B774" s="7"/>
    </row>
    <row r="775" spans="2:2" x14ac:dyDescent="0.2">
      <c r="B775" s="7"/>
    </row>
    <row r="776" spans="2:2" x14ac:dyDescent="0.2">
      <c r="B776" s="7"/>
    </row>
    <row r="777" spans="2:2" x14ac:dyDescent="0.2">
      <c r="B777" s="7"/>
    </row>
    <row r="778" spans="2:2" x14ac:dyDescent="0.2">
      <c r="B778" s="7"/>
    </row>
    <row r="779" spans="2:2" x14ac:dyDescent="0.2">
      <c r="B779" s="7"/>
    </row>
    <row r="780" spans="2:2" x14ac:dyDescent="0.2">
      <c r="B780" s="7"/>
    </row>
    <row r="781" spans="2:2" x14ac:dyDescent="0.2">
      <c r="B781" s="7"/>
    </row>
    <row r="782" spans="2:2" x14ac:dyDescent="0.2">
      <c r="B782" s="7"/>
    </row>
    <row r="783" spans="2:2" x14ac:dyDescent="0.2">
      <c r="B783" s="7"/>
    </row>
    <row r="784" spans="2:2" x14ac:dyDescent="0.2">
      <c r="B784" s="7"/>
    </row>
    <row r="785" spans="2:2" x14ac:dyDescent="0.2">
      <c r="B785" s="7"/>
    </row>
    <row r="786" spans="2:2" x14ac:dyDescent="0.2">
      <c r="B786" s="7"/>
    </row>
    <row r="787" spans="2:2" x14ac:dyDescent="0.2">
      <c r="B787" s="7"/>
    </row>
    <row r="788" spans="2:2" x14ac:dyDescent="0.2">
      <c r="B788" s="7"/>
    </row>
    <row r="789" spans="2:2" x14ac:dyDescent="0.2">
      <c r="B789" s="7"/>
    </row>
    <row r="790" spans="2:2" x14ac:dyDescent="0.2">
      <c r="B790" s="7"/>
    </row>
    <row r="791" spans="2:2" x14ac:dyDescent="0.2">
      <c r="B791" s="7"/>
    </row>
    <row r="792" spans="2:2" x14ac:dyDescent="0.2">
      <c r="B792" s="7"/>
    </row>
    <row r="793" spans="2:2" x14ac:dyDescent="0.2">
      <c r="B793" s="7"/>
    </row>
    <row r="794" spans="2:2" x14ac:dyDescent="0.2">
      <c r="B794" s="7"/>
    </row>
    <row r="795" spans="2:2" x14ac:dyDescent="0.2">
      <c r="B795" s="7"/>
    </row>
    <row r="796" spans="2:2" x14ac:dyDescent="0.2">
      <c r="B796" s="7"/>
    </row>
    <row r="797" spans="2:2" x14ac:dyDescent="0.2">
      <c r="B797" s="7"/>
    </row>
    <row r="798" spans="2:2" x14ac:dyDescent="0.2">
      <c r="B798" s="7"/>
    </row>
    <row r="799" spans="2:2" x14ac:dyDescent="0.2">
      <c r="B799" s="7"/>
    </row>
    <row r="800" spans="2:2" x14ac:dyDescent="0.2">
      <c r="B800" s="7"/>
    </row>
    <row r="801" spans="2:2" x14ac:dyDescent="0.2">
      <c r="B801" s="7"/>
    </row>
    <row r="802" spans="2:2" x14ac:dyDescent="0.2">
      <c r="B802" s="7"/>
    </row>
    <row r="803" spans="2:2" x14ac:dyDescent="0.2">
      <c r="B803" s="7"/>
    </row>
    <row r="804" spans="2:2" x14ac:dyDescent="0.2">
      <c r="B804" s="7"/>
    </row>
    <row r="805" spans="2:2" x14ac:dyDescent="0.2">
      <c r="B805" s="7"/>
    </row>
    <row r="806" spans="2:2" x14ac:dyDescent="0.2">
      <c r="B806" s="7"/>
    </row>
    <row r="807" spans="2:2" x14ac:dyDescent="0.2">
      <c r="B807" s="7"/>
    </row>
    <row r="808" spans="2:2" x14ac:dyDescent="0.2">
      <c r="B808" s="7"/>
    </row>
    <row r="809" spans="2:2" x14ac:dyDescent="0.2">
      <c r="B809" s="7"/>
    </row>
    <row r="810" spans="2:2" x14ac:dyDescent="0.2">
      <c r="B810" s="7"/>
    </row>
    <row r="811" spans="2:2" x14ac:dyDescent="0.2">
      <c r="B811" s="7"/>
    </row>
    <row r="812" spans="2:2" x14ac:dyDescent="0.2">
      <c r="B812" s="7"/>
    </row>
    <row r="813" spans="2:2" x14ac:dyDescent="0.2">
      <c r="B813" s="7"/>
    </row>
    <row r="814" spans="2:2" x14ac:dyDescent="0.2">
      <c r="B814" s="7"/>
    </row>
    <row r="815" spans="2:2" x14ac:dyDescent="0.2">
      <c r="B815" s="7"/>
    </row>
    <row r="816" spans="2:2" x14ac:dyDescent="0.2">
      <c r="B816" s="7"/>
    </row>
    <row r="817" spans="2:2" x14ac:dyDescent="0.2">
      <c r="B817" s="7"/>
    </row>
    <row r="818" spans="2:2" x14ac:dyDescent="0.2">
      <c r="B818" s="7"/>
    </row>
    <row r="819" spans="2:2" x14ac:dyDescent="0.2">
      <c r="B819" s="7"/>
    </row>
    <row r="820" spans="2:2" x14ac:dyDescent="0.2">
      <c r="B820" s="7"/>
    </row>
    <row r="821" spans="2:2" x14ac:dyDescent="0.2">
      <c r="B821" s="7"/>
    </row>
    <row r="822" spans="2:2" x14ac:dyDescent="0.2">
      <c r="B822" s="7"/>
    </row>
    <row r="823" spans="2:2" x14ac:dyDescent="0.2">
      <c r="B823" s="7"/>
    </row>
    <row r="824" spans="2:2" x14ac:dyDescent="0.2">
      <c r="B824" s="7"/>
    </row>
    <row r="825" spans="2:2" x14ac:dyDescent="0.2">
      <c r="B825" s="7"/>
    </row>
    <row r="826" spans="2:2" x14ac:dyDescent="0.2">
      <c r="B826" s="7"/>
    </row>
    <row r="827" spans="2:2" x14ac:dyDescent="0.2">
      <c r="B827" s="7"/>
    </row>
    <row r="828" spans="2:2" x14ac:dyDescent="0.2">
      <c r="B828" s="7"/>
    </row>
    <row r="829" spans="2:2" x14ac:dyDescent="0.2">
      <c r="B829" s="7"/>
    </row>
    <row r="830" spans="2:2" x14ac:dyDescent="0.2">
      <c r="B830" s="7"/>
    </row>
    <row r="831" spans="2:2" x14ac:dyDescent="0.2">
      <c r="B831" s="7"/>
    </row>
    <row r="832" spans="2:2" x14ac:dyDescent="0.2">
      <c r="B832" s="7"/>
    </row>
    <row r="833" spans="2:2" x14ac:dyDescent="0.2">
      <c r="B833" s="7"/>
    </row>
    <row r="834" spans="2:2" x14ac:dyDescent="0.2">
      <c r="B834" s="7"/>
    </row>
    <row r="835" spans="2:2" x14ac:dyDescent="0.2">
      <c r="B835" s="7"/>
    </row>
    <row r="836" spans="2:2" x14ac:dyDescent="0.2">
      <c r="B836" s="7"/>
    </row>
    <row r="837" spans="2:2" x14ac:dyDescent="0.2">
      <c r="B837" s="7"/>
    </row>
    <row r="838" spans="2:2" x14ac:dyDescent="0.2">
      <c r="B838" s="7"/>
    </row>
    <row r="839" spans="2:2" x14ac:dyDescent="0.2">
      <c r="B839" s="7"/>
    </row>
    <row r="840" spans="2:2" x14ac:dyDescent="0.2">
      <c r="B840" s="7"/>
    </row>
    <row r="841" spans="2:2" x14ac:dyDescent="0.2">
      <c r="B841" s="7"/>
    </row>
    <row r="842" spans="2:2" x14ac:dyDescent="0.2">
      <c r="B842" s="7"/>
    </row>
    <row r="843" spans="2:2" x14ac:dyDescent="0.2">
      <c r="B843" s="7"/>
    </row>
    <row r="844" spans="2:2" x14ac:dyDescent="0.2">
      <c r="B844" s="7"/>
    </row>
    <row r="845" spans="2:2" x14ac:dyDescent="0.2">
      <c r="B845" s="7"/>
    </row>
    <row r="846" spans="2:2" x14ac:dyDescent="0.2">
      <c r="B846" s="7"/>
    </row>
    <row r="847" spans="2:2" x14ac:dyDescent="0.2">
      <c r="B847" s="7"/>
    </row>
    <row r="848" spans="2:2" x14ac:dyDescent="0.2">
      <c r="B848" s="7"/>
    </row>
    <row r="849" spans="2:2" x14ac:dyDescent="0.2">
      <c r="B849" s="7"/>
    </row>
    <row r="850" spans="2:2" x14ac:dyDescent="0.2">
      <c r="B850" s="7"/>
    </row>
    <row r="851" spans="2:2" x14ac:dyDescent="0.2">
      <c r="B851" s="7"/>
    </row>
    <row r="852" spans="2:2" x14ac:dyDescent="0.2">
      <c r="B852" s="7"/>
    </row>
    <row r="853" spans="2:2" x14ac:dyDescent="0.2">
      <c r="B853" s="7"/>
    </row>
    <row r="854" spans="2:2" x14ac:dyDescent="0.2">
      <c r="B854" s="7"/>
    </row>
    <row r="855" spans="2:2" x14ac:dyDescent="0.2">
      <c r="B855" s="7"/>
    </row>
    <row r="856" spans="2:2" x14ac:dyDescent="0.2">
      <c r="B856" s="7"/>
    </row>
    <row r="857" spans="2:2" x14ac:dyDescent="0.2">
      <c r="B857" s="7"/>
    </row>
    <row r="858" spans="2:2" x14ac:dyDescent="0.2">
      <c r="B858" s="7"/>
    </row>
    <row r="859" spans="2:2" x14ac:dyDescent="0.2">
      <c r="B859" s="7"/>
    </row>
    <row r="860" spans="2:2" x14ac:dyDescent="0.2">
      <c r="B860" s="7"/>
    </row>
    <row r="861" spans="2:2" x14ac:dyDescent="0.2">
      <c r="B861" s="7"/>
    </row>
    <row r="862" spans="2:2" x14ac:dyDescent="0.2">
      <c r="B862" s="7"/>
    </row>
    <row r="863" spans="2:2" x14ac:dyDescent="0.2">
      <c r="B863" s="7"/>
    </row>
    <row r="864" spans="2:2" x14ac:dyDescent="0.2">
      <c r="B864" s="7"/>
    </row>
    <row r="865" spans="2:2" x14ac:dyDescent="0.2">
      <c r="B865" s="7"/>
    </row>
    <row r="866" spans="2:2" x14ac:dyDescent="0.2">
      <c r="B866" s="7"/>
    </row>
    <row r="867" spans="2:2" x14ac:dyDescent="0.2">
      <c r="B867" s="7"/>
    </row>
    <row r="868" spans="2:2" x14ac:dyDescent="0.2">
      <c r="B868" s="7"/>
    </row>
    <row r="869" spans="2:2" x14ac:dyDescent="0.2">
      <c r="B869" s="7"/>
    </row>
    <row r="870" spans="2:2" x14ac:dyDescent="0.2">
      <c r="B870" s="7"/>
    </row>
    <row r="871" spans="2:2" x14ac:dyDescent="0.2">
      <c r="B871" s="7"/>
    </row>
    <row r="872" spans="2:2" x14ac:dyDescent="0.2">
      <c r="B872" s="7"/>
    </row>
    <row r="873" spans="2:2" x14ac:dyDescent="0.2">
      <c r="B873" s="7"/>
    </row>
    <row r="874" spans="2:2" x14ac:dyDescent="0.2">
      <c r="B874" s="7"/>
    </row>
    <row r="875" spans="2:2" x14ac:dyDescent="0.2">
      <c r="B875" s="7"/>
    </row>
    <row r="876" spans="2:2" x14ac:dyDescent="0.2">
      <c r="B876" s="7"/>
    </row>
    <row r="877" spans="2:2" x14ac:dyDescent="0.2">
      <c r="B877" s="7"/>
    </row>
    <row r="878" spans="2:2" x14ac:dyDescent="0.2">
      <c r="B878" s="7"/>
    </row>
    <row r="879" spans="2:2" x14ac:dyDescent="0.2">
      <c r="B879" s="7"/>
    </row>
    <row r="880" spans="2:2" x14ac:dyDescent="0.2">
      <c r="B880" s="7"/>
    </row>
    <row r="881" spans="2:2" x14ac:dyDescent="0.2">
      <c r="B881" s="7"/>
    </row>
    <row r="882" spans="2:2" x14ac:dyDescent="0.2">
      <c r="B882" s="7"/>
    </row>
    <row r="883" spans="2:2" x14ac:dyDescent="0.2">
      <c r="B883" s="7"/>
    </row>
    <row r="884" spans="2:2" x14ac:dyDescent="0.2">
      <c r="B884" s="7"/>
    </row>
    <row r="885" spans="2:2" x14ac:dyDescent="0.2">
      <c r="B885" s="7"/>
    </row>
    <row r="886" spans="2:2" x14ac:dyDescent="0.2">
      <c r="B886" s="7"/>
    </row>
    <row r="887" spans="2:2" x14ac:dyDescent="0.2">
      <c r="B887" s="7"/>
    </row>
    <row r="888" spans="2:2" x14ac:dyDescent="0.2">
      <c r="B888" s="7"/>
    </row>
    <row r="889" spans="2:2" x14ac:dyDescent="0.2">
      <c r="B889" s="7"/>
    </row>
    <row r="890" spans="2:2" x14ac:dyDescent="0.2">
      <c r="B890" s="7"/>
    </row>
    <row r="891" spans="2:2" x14ac:dyDescent="0.2">
      <c r="B891" s="7"/>
    </row>
    <row r="892" spans="2:2" x14ac:dyDescent="0.2">
      <c r="B892" s="7"/>
    </row>
    <row r="893" spans="2:2" x14ac:dyDescent="0.2">
      <c r="B893" s="7"/>
    </row>
    <row r="894" spans="2:2" x14ac:dyDescent="0.2">
      <c r="B894" s="7"/>
    </row>
    <row r="895" spans="2:2" x14ac:dyDescent="0.2">
      <c r="B895" s="7"/>
    </row>
    <row r="896" spans="2:2" x14ac:dyDescent="0.2">
      <c r="B896" s="7"/>
    </row>
    <row r="897" spans="2:2" x14ac:dyDescent="0.2">
      <c r="B897" s="7"/>
    </row>
    <row r="898" spans="2:2" x14ac:dyDescent="0.2">
      <c r="B898" s="7"/>
    </row>
    <row r="899" spans="2:2" x14ac:dyDescent="0.2">
      <c r="B899" s="7"/>
    </row>
    <row r="900" spans="2:2" x14ac:dyDescent="0.2">
      <c r="B900" s="7"/>
    </row>
    <row r="901" spans="2:2" x14ac:dyDescent="0.2">
      <c r="B901" s="7"/>
    </row>
    <row r="902" spans="2:2" x14ac:dyDescent="0.2">
      <c r="B902" s="7"/>
    </row>
    <row r="903" spans="2:2" x14ac:dyDescent="0.2">
      <c r="B903" s="7"/>
    </row>
    <row r="904" spans="2:2" x14ac:dyDescent="0.2">
      <c r="B904" s="7"/>
    </row>
    <row r="905" spans="2:2" x14ac:dyDescent="0.2">
      <c r="B905" s="7"/>
    </row>
    <row r="906" spans="2:2" x14ac:dyDescent="0.2">
      <c r="B906" s="7"/>
    </row>
    <row r="907" spans="2:2" x14ac:dyDescent="0.2">
      <c r="B907" s="7"/>
    </row>
    <row r="908" spans="2:2" x14ac:dyDescent="0.2">
      <c r="B908" s="7"/>
    </row>
    <row r="909" spans="2:2" x14ac:dyDescent="0.2">
      <c r="B909" s="7"/>
    </row>
    <row r="910" spans="2:2" x14ac:dyDescent="0.2">
      <c r="B910" s="7"/>
    </row>
    <row r="911" spans="2:2" x14ac:dyDescent="0.2">
      <c r="B911" s="7"/>
    </row>
    <row r="912" spans="2:2" x14ac:dyDescent="0.2">
      <c r="B912" s="7"/>
    </row>
    <row r="913" spans="2:2" x14ac:dyDescent="0.2">
      <c r="B913" s="7"/>
    </row>
    <row r="914" spans="2:2" x14ac:dyDescent="0.2">
      <c r="B914" s="7"/>
    </row>
    <row r="915" spans="2:2" x14ac:dyDescent="0.2">
      <c r="B915" s="7"/>
    </row>
    <row r="916" spans="2:2" x14ac:dyDescent="0.2">
      <c r="B916" s="7"/>
    </row>
    <row r="917" spans="2:2" x14ac:dyDescent="0.2">
      <c r="B917" s="7"/>
    </row>
    <row r="918" spans="2:2" x14ac:dyDescent="0.2">
      <c r="B918" s="7"/>
    </row>
    <row r="919" spans="2:2" x14ac:dyDescent="0.2">
      <c r="B919" s="7"/>
    </row>
    <row r="920" spans="2:2" x14ac:dyDescent="0.2">
      <c r="B920" s="7"/>
    </row>
    <row r="921" spans="2:2" x14ac:dyDescent="0.2">
      <c r="B921" s="7"/>
    </row>
    <row r="922" spans="2:2" x14ac:dyDescent="0.2">
      <c r="B922" s="7"/>
    </row>
    <row r="923" spans="2:2" x14ac:dyDescent="0.2">
      <c r="B923" s="7"/>
    </row>
    <row r="924" spans="2:2" x14ac:dyDescent="0.2">
      <c r="B924" s="7"/>
    </row>
    <row r="925" spans="2:2" x14ac:dyDescent="0.2">
      <c r="B925" s="7"/>
    </row>
    <row r="926" spans="2:2" x14ac:dyDescent="0.2">
      <c r="B926" s="7"/>
    </row>
    <row r="927" spans="2:2" x14ac:dyDescent="0.2">
      <c r="B927" s="7"/>
    </row>
    <row r="928" spans="2:2" x14ac:dyDescent="0.2">
      <c r="B928" s="7"/>
    </row>
    <row r="929" spans="2:2" x14ac:dyDescent="0.2">
      <c r="B929" s="7"/>
    </row>
    <row r="930" spans="2:2" x14ac:dyDescent="0.2">
      <c r="B930" s="7"/>
    </row>
    <row r="931" spans="2:2" x14ac:dyDescent="0.2">
      <c r="B931" s="7"/>
    </row>
    <row r="932" spans="2:2" x14ac:dyDescent="0.2">
      <c r="B932" s="7"/>
    </row>
    <row r="933" spans="2:2" x14ac:dyDescent="0.2">
      <c r="B933" s="7"/>
    </row>
    <row r="934" spans="2:2" x14ac:dyDescent="0.2">
      <c r="B934" s="7"/>
    </row>
    <row r="935" spans="2:2" x14ac:dyDescent="0.2">
      <c r="B935" s="7"/>
    </row>
    <row r="936" spans="2:2" x14ac:dyDescent="0.2">
      <c r="B936" s="7"/>
    </row>
    <row r="937" spans="2:2" x14ac:dyDescent="0.2">
      <c r="B937" s="7"/>
    </row>
    <row r="938" spans="2:2" x14ac:dyDescent="0.2">
      <c r="B938" s="7"/>
    </row>
    <row r="939" spans="2:2" x14ac:dyDescent="0.2">
      <c r="B939" s="7"/>
    </row>
    <row r="940" spans="2:2" x14ac:dyDescent="0.2">
      <c r="B940" s="7"/>
    </row>
    <row r="941" spans="2:2" x14ac:dyDescent="0.2">
      <c r="B941" s="7"/>
    </row>
    <row r="942" spans="2:2" x14ac:dyDescent="0.2">
      <c r="B942" s="7"/>
    </row>
    <row r="943" spans="2:2" x14ac:dyDescent="0.2">
      <c r="B943" s="7"/>
    </row>
    <row r="944" spans="2:2" x14ac:dyDescent="0.2">
      <c r="B944" s="7"/>
    </row>
    <row r="945" spans="2:2" x14ac:dyDescent="0.2">
      <c r="B945" s="7"/>
    </row>
    <row r="946" spans="2:2" x14ac:dyDescent="0.2">
      <c r="B946" s="7"/>
    </row>
    <row r="947" spans="2:2" x14ac:dyDescent="0.2">
      <c r="B947" s="7"/>
    </row>
    <row r="948" spans="2:2" x14ac:dyDescent="0.2">
      <c r="B948" s="7"/>
    </row>
    <row r="949" spans="2:2" x14ac:dyDescent="0.2">
      <c r="B949" s="7"/>
    </row>
    <row r="950" spans="2:2" x14ac:dyDescent="0.2">
      <c r="B950" s="7"/>
    </row>
    <row r="951" spans="2:2" x14ac:dyDescent="0.2">
      <c r="B951" s="7"/>
    </row>
    <row r="952" spans="2:2" x14ac:dyDescent="0.2">
      <c r="B952" s="7"/>
    </row>
    <row r="953" spans="2:2" x14ac:dyDescent="0.2">
      <c r="B953" s="7"/>
    </row>
    <row r="954" spans="2:2" x14ac:dyDescent="0.2">
      <c r="B954" s="7"/>
    </row>
    <row r="955" spans="2:2" x14ac:dyDescent="0.2">
      <c r="B955" s="7"/>
    </row>
    <row r="956" spans="2:2" x14ac:dyDescent="0.2">
      <c r="B956" s="7"/>
    </row>
    <row r="957" spans="2:2" x14ac:dyDescent="0.2">
      <c r="B957" s="7"/>
    </row>
    <row r="958" spans="2:2" x14ac:dyDescent="0.2">
      <c r="B958" s="7"/>
    </row>
    <row r="959" spans="2:2" x14ac:dyDescent="0.2">
      <c r="B959" s="7"/>
    </row>
    <row r="960" spans="2:2" x14ac:dyDescent="0.2">
      <c r="B960" s="7"/>
    </row>
    <row r="961" spans="2:2" x14ac:dyDescent="0.2">
      <c r="B961" s="7"/>
    </row>
    <row r="962" spans="2:2" x14ac:dyDescent="0.2">
      <c r="B962" s="7"/>
    </row>
    <row r="963" spans="2:2" x14ac:dyDescent="0.2">
      <c r="B963" s="7"/>
    </row>
    <row r="964" spans="2:2" x14ac:dyDescent="0.2">
      <c r="B964" s="7"/>
    </row>
    <row r="965" spans="2:2" x14ac:dyDescent="0.2">
      <c r="B965" s="7"/>
    </row>
    <row r="966" spans="2:2" x14ac:dyDescent="0.2">
      <c r="B966" s="7"/>
    </row>
    <row r="967" spans="2:2" x14ac:dyDescent="0.2">
      <c r="B967" s="7"/>
    </row>
    <row r="968" spans="2:2" x14ac:dyDescent="0.2">
      <c r="B968" s="7"/>
    </row>
    <row r="969" spans="2:2" x14ac:dyDescent="0.2">
      <c r="B969" s="7"/>
    </row>
    <row r="970" spans="2:2" x14ac:dyDescent="0.2">
      <c r="B970" s="7"/>
    </row>
    <row r="971" spans="2:2" x14ac:dyDescent="0.2">
      <c r="B971" s="7"/>
    </row>
    <row r="972" spans="2:2" x14ac:dyDescent="0.2">
      <c r="B972" s="7"/>
    </row>
    <row r="973" spans="2:2" x14ac:dyDescent="0.2">
      <c r="B973" s="7"/>
    </row>
    <row r="974" spans="2:2" x14ac:dyDescent="0.2">
      <c r="B974" s="7"/>
    </row>
    <row r="975" spans="2:2" x14ac:dyDescent="0.2">
      <c r="B975" s="7"/>
    </row>
    <row r="976" spans="2:2" x14ac:dyDescent="0.2">
      <c r="B976" s="7"/>
    </row>
    <row r="977" spans="2:2" x14ac:dyDescent="0.2">
      <c r="B977" s="7"/>
    </row>
    <row r="978" spans="2:2" x14ac:dyDescent="0.2">
      <c r="B978" s="7"/>
    </row>
    <row r="979" spans="2:2" x14ac:dyDescent="0.2">
      <c r="B979" s="7"/>
    </row>
    <row r="980" spans="2:2" x14ac:dyDescent="0.2">
      <c r="B980" s="7"/>
    </row>
    <row r="981" spans="2:2" x14ac:dyDescent="0.2">
      <c r="B981" s="7"/>
    </row>
    <row r="982" spans="2:2" x14ac:dyDescent="0.2">
      <c r="B982" s="7"/>
    </row>
    <row r="983" spans="2:2" x14ac:dyDescent="0.2">
      <c r="B983" s="7"/>
    </row>
    <row r="984" spans="2:2" x14ac:dyDescent="0.2">
      <c r="B984" s="7"/>
    </row>
    <row r="985" spans="2:2" x14ac:dyDescent="0.2">
      <c r="B985" s="7"/>
    </row>
    <row r="986" spans="2:2" x14ac:dyDescent="0.2">
      <c r="B986" s="7"/>
    </row>
    <row r="987" spans="2:2" x14ac:dyDescent="0.2">
      <c r="B987" s="7"/>
    </row>
    <row r="988" spans="2:2" x14ac:dyDescent="0.2">
      <c r="B988" s="7"/>
    </row>
    <row r="989" spans="2:2" x14ac:dyDescent="0.2">
      <c r="B989" s="7"/>
    </row>
    <row r="990" spans="2:2" x14ac:dyDescent="0.2">
      <c r="B990" s="7"/>
    </row>
    <row r="991" spans="2:2" x14ac:dyDescent="0.2">
      <c r="B991" s="7"/>
    </row>
    <row r="992" spans="2:2" x14ac:dyDescent="0.2">
      <c r="B992" s="7"/>
    </row>
    <row r="993" spans="2:2" x14ac:dyDescent="0.2">
      <c r="B993" s="7"/>
    </row>
    <row r="994" spans="2:2" x14ac:dyDescent="0.2">
      <c r="B994" s="7"/>
    </row>
    <row r="995" spans="2:2" x14ac:dyDescent="0.2">
      <c r="B995" s="7"/>
    </row>
    <row r="996" spans="2:2" x14ac:dyDescent="0.2">
      <c r="B996" s="7"/>
    </row>
    <row r="997" spans="2:2" x14ac:dyDescent="0.2">
      <c r="B997" s="7"/>
    </row>
    <row r="998" spans="2:2" x14ac:dyDescent="0.2">
      <c r="B998" s="7"/>
    </row>
    <row r="999" spans="2:2" x14ac:dyDescent="0.2">
      <c r="B999" s="7"/>
    </row>
    <row r="1000" spans="2:2" x14ac:dyDescent="0.2">
      <c r="B1000" s="7"/>
    </row>
    <row r="1001" spans="2:2" x14ac:dyDescent="0.2">
      <c r="B1001" s="7"/>
    </row>
    <row r="1002" spans="2:2" x14ac:dyDescent="0.2">
      <c r="B1002" s="7"/>
    </row>
    <row r="1003" spans="2:2" x14ac:dyDescent="0.2">
      <c r="B1003" s="7"/>
    </row>
    <row r="1004" spans="2:2" x14ac:dyDescent="0.2">
      <c r="B1004" s="7"/>
    </row>
    <row r="1005" spans="2:2" x14ac:dyDescent="0.2">
      <c r="B1005" s="7"/>
    </row>
    <row r="1006" spans="2:2" x14ac:dyDescent="0.2">
      <c r="B1006" s="7"/>
    </row>
    <row r="1007" spans="2:2" x14ac:dyDescent="0.2">
      <c r="B1007" s="7"/>
    </row>
    <row r="1008" spans="2:2" x14ac:dyDescent="0.2">
      <c r="B1008" s="7"/>
    </row>
    <row r="1009" spans="2:2" x14ac:dyDescent="0.2">
      <c r="B1009" s="7"/>
    </row>
    <row r="1010" spans="2:2" x14ac:dyDescent="0.2">
      <c r="B1010" s="7"/>
    </row>
    <row r="1011" spans="2:2" x14ac:dyDescent="0.2">
      <c r="B1011" s="7"/>
    </row>
    <row r="1012" spans="2:2" x14ac:dyDescent="0.2">
      <c r="B1012" s="7"/>
    </row>
    <row r="1013" spans="2:2" x14ac:dyDescent="0.2">
      <c r="B1013" s="7"/>
    </row>
    <row r="1014" spans="2:2" x14ac:dyDescent="0.2">
      <c r="B1014" s="7"/>
    </row>
    <row r="1015" spans="2:2" x14ac:dyDescent="0.2">
      <c r="B1015" s="7"/>
    </row>
    <row r="1016" spans="2:2" x14ac:dyDescent="0.2">
      <c r="B1016" s="7"/>
    </row>
    <row r="1017" spans="2:2" x14ac:dyDescent="0.2">
      <c r="B1017" s="7"/>
    </row>
    <row r="1018" spans="2:2" x14ac:dyDescent="0.2">
      <c r="B1018" s="7"/>
    </row>
    <row r="1019" spans="2:2" x14ac:dyDescent="0.2">
      <c r="B1019" s="7"/>
    </row>
    <row r="1020" spans="2:2" x14ac:dyDescent="0.2">
      <c r="B1020" s="7"/>
    </row>
    <row r="1021" spans="2:2" x14ac:dyDescent="0.2">
      <c r="B1021" s="7"/>
    </row>
    <row r="1022" spans="2:2" x14ac:dyDescent="0.2">
      <c r="B1022" s="7"/>
    </row>
    <row r="1023" spans="2:2" x14ac:dyDescent="0.2">
      <c r="B1023" s="7"/>
    </row>
    <row r="1024" spans="2:2" x14ac:dyDescent="0.2">
      <c r="B1024" s="7"/>
    </row>
    <row r="1025" spans="2:2" x14ac:dyDescent="0.2">
      <c r="B1025" s="7"/>
    </row>
    <row r="1026" spans="2:2" x14ac:dyDescent="0.2">
      <c r="B1026" s="7"/>
    </row>
    <row r="1027" spans="2:2" x14ac:dyDescent="0.2">
      <c r="B1027" s="7"/>
    </row>
    <row r="1028" spans="2:2" x14ac:dyDescent="0.2">
      <c r="B1028" s="7"/>
    </row>
    <row r="1029" spans="2:2" x14ac:dyDescent="0.2">
      <c r="B1029" s="7"/>
    </row>
    <row r="1030" spans="2:2" x14ac:dyDescent="0.2">
      <c r="B1030" s="7"/>
    </row>
    <row r="1031" spans="2:2" x14ac:dyDescent="0.2">
      <c r="B1031" s="7"/>
    </row>
    <row r="1032" spans="2:2" x14ac:dyDescent="0.2">
      <c r="B1032" s="7"/>
    </row>
    <row r="1033" spans="2:2" x14ac:dyDescent="0.2">
      <c r="B1033" s="7"/>
    </row>
    <row r="1034" spans="2:2" x14ac:dyDescent="0.2">
      <c r="B1034" s="7"/>
    </row>
    <row r="1035" spans="2:2" x14ac:dyDescent="0.2">
      <c r="B1035" s="7"/>
    </row>
    <row r="1036" spans="2:2" x14ac:dyDescent="0.2">
      <c r="B1036" s="7"/>
    </row>
    <row r="1037" spans="2:2" x14ac:dyDescent="0.2">
      <c r="B1037" s="7"/>
    </row>
    <row r="1038" spans="2:2" x14ac:dyDescent="0.2">
      <c r="B1038" s="7"/>
    </row>
    <row r="1039" spans="2:2" x14ac:dyDescent="0.2">
      <c r="B1039" s="7"/>
    </row>
    <row r="1040" spans="2:2" x14ac:dyDescent="0.2">
      <c r="B1040" s="7"/>
    </row>
    <row r="1041" spans="2:2" x14ac:dyDescent="0.2">
      <c r="B1041" s="7"/>
    </row>
    <row r="1042" spans="2:2" x14ac:dyDescent="0.2">
      <c r="B1042" s="7"/>
    </row>
    <row r="1043" spans="2:2" x14ac:dyDescent="0.2">
      <c r="B1043" s="7"/>
    </row>
    <row r="1044" spans="2:2" x14ac:dyDescent="0.2">
      <c r="B1044" s="7"/>
    </row>
    <row r="1045" spans="2:2" x14ac:dyDescent="0.2">
      <c r="B1045" s="7"/>
    </row>
    <row r="1046" spans="2:2" x14ac:dyDescent="0.2">
      <c r="B1046" s="7"/>
    </row>
    <row r="1047" spans="2:2" x14ac:dyDescent="0.2">
      <c r="B1047" s="7"/>
    </row>
    <row r="1048" spans="2:2" x14ac:dyDescent="0.2">
      <c r="B1048" s="7"/>
    </row>
    <row r="1049" spans="2:2" x14ac:dyDescent="0.2">
      <c r="B1049" s="7"/>
    </row>
    <row r="1050" spans="2:2" x14ac:dyDescent="0.2">
      <c r="B1050" s="7"/>
    </row>
    <row r="1051" spans="2:2" x14ac:dyDescent="0.2">
      <c r="B1051" s="7"/>
    </row>
    <row r="1052" spans="2:2" x14ac:dyDescent="0.2">
      <c r="B1052" s="7"/>
    </row>
    <row r="1053" spans="2:2" x14ac:dyDescent="0.2">
      <c r="B1053" s="7"/>
    </row>
    <row r="1054" spans="2:2" x14ac:dyDescent="0.2">
      <c r="B1054" s="7"/>
    </row>
    <row r="1055" spans="2:2" x14ac:dyDescent="0.2">
      <c r="B1055" s="7"/>
    </row>
    <row r="1056" spans="2:2" x14ac:dyDescent="0.2">
      <c r="B1056" s="7"/>
    </row>
    <row r="1057" spans="2:2" x14ac:dyDescent="0.2">
      <c r="B1057" s="7"/>
    </row>
    <row r="1058" spans="2:2" x14ac:dyDescent="0.2">
      <c r="B1058" s="7"/>
    </row>
    <row r="1059" spans="2:2" x14ac:dyDescent="0.2">
      <c r="B1059" s="7"/>
    </row>
    <row r="1060" spans="2:2" x14ac:dyDescent="0.2">
      <c r="B1060" s="7"/>
    </row>
    <row r="1061" spans="2:2" x14ac:dyDescent="0.2">
      <c r="B1061" s="7"/>
    </row>
    <row r="1062" spans="2:2" x14ac:dyDescent="0.2">
      <c r="B1062" s="7"/>
    </row>
    <row r="1063" spans="2:2" x14ac:dyDescent="0.2">
      <c r="B1063" s="7"/>
    </row>
    <row r="1064" spans="2:2" x14ac:dyDescent="0.2">
      <c r="B1064" s="7"/>
    </row>
    <row r="1065" spans="2:2" x14ac:dyDescent="0.2">
      <c r="B1065" s="7"/>
    </row>
    <row r="1066" spans="2:2" x14ac:dyDescent="0.2">
      <c r="B1066" s="7"/>
    </row>
    <row r="1067" spans="2:2" x14ac:dyDescent="0.2">
      <c r="B1067" s="7"/>
    </row>
    <row r="1068" spans="2:2" x14ac:dyDescent="0.2">
      <c r="B1068" s="7"/>
    </row>
    <row r="1069" spans="2:2" x14ac:dyDescent="0.2">
      <c r="B1069" s="7"/>
    </row>
    <row r="1070" spans="2:2" x14ac:dyDescent="0.2">
      <c r="B1070" s="7"/>
    </row>
    <row r="1071" spans="2:2" x14ac:dyDescent="0.2">
      <c r="B1071" s="7"/>
    </row>
    <row r="1072" spans="2:2" x14ac:dyDescent="0.2">
      <c r="B1072" s="7"/>
    </row>
    <row r="1073" spans="2:2" x14ac:dyDescent="0.2">
      <c r="B1073" s="7"/>
    </row>
    <row r="1074" spans="2:2" x14ac:dyDescent="0.2">
      <c r="B1074" s="7"/>
    </row>
    <row r="1075" spans="2:2" x14ac:dyDescent="0.2">
      <c r="B1075" s="7"/>
    </row>
    <row r="1076" spans="2:2" x14ac:dyDescent="0.2">
      <c r="B1076" s="7"/>
    </row>
    <row r="1077" spans="2:2" x14ac:dyDescent="0.2">
      <c r="B1077" s="7"/>
    </row>
    <row r="1078" spans="2:2" x14ac:dyDescent="0.2">
      <c r="B1078" s="7"/>
    </row>
    <row r="1079" spans="2:2" x14ac:dyDescent="0.2">
      <c r="B1079" s="7"/>
    </row>
    <row r="1080" spans="2:2" x14ac:dyDescent="0.2">
      <c r="B1080" s="7"/>
    </row>
    <row r="1081" spans="2:2" x14ac:dyDescent="0.2">
      <c r="B1081" s="7"/>
    </row>
    <row r="1082" spans="2:2" x14ac:dyDescent="0.2">
      <c r="B1082" s="7"/>
    </row>
    <row r="1083" spans="2:2" x14ac:dyDescent="0.2">
      <c r="B1083" s="7"/>
    </row>
    <row r="1084" spans="2:2" x14ac:dyDescent="0.2">
      <c r="B1084" s="7"/>
    </row>
    <row r="1085" spans="2:2" x14ac:dyDescent="0.2">
      <c r="B1085" s="7"/>
    </row>
    <row r="1086" spans="2:2" x14ac:dyDescent="0.2">
      <c r="B1086" s="7"/>
    </row>
    <row r="1087" spans="2:2" x14ac:dyDescent="0.2">
      <c r="B1087" s="7"/>
    </row>
    <row r="1088" spans="2:2" x14ac:dyDescent="0.2">
      <c r="B1088" s="7"/>
    </row>
    <row r="1089" spans="2:2" x14ac:dyDescent="0.2">
      <c r="B1089" s="7"/>
    </row>
    <row r="1090" spans="2:2" x14ac:dyDescent="0.2">
      <c r="B1090" s="7"/>
    </row>
    <row r="1091" spans="2:2" x14ac:dyDescent="0.2">
      <c r="B1091" s="7"/>
    </row>
    <row r="1092" spans="2:2" x14ac:dyDescent="0.2">
      <c r="B1092" s="7"/>
    </row>
    <row r="1093" spans="2:2" x14ac:dyDescent="0.2">
      <c r="B1093" s="7"/>
    </row>
    <row r="1094" spans="2:2" x14ac:dyDescent="0.2">
      <c r="B1094" s="7"/>
    </row>
    <row r="1095" spans="2:2" x14ac:dyDescent="0.2">
      <c r="B1095" s="7"/>
    </row>
    <row r="1096" spans="2:2" x14ac:dyDescent="0.2">
      <c r="B1096" s="7"/>
    </row>
    <row r="1097" spans="2:2" x14ac:dyDescent="0.2">
      <c r="B1097" s="7"/>
    </row>
    <row r="1098" spans="2:2" x14ac:dyDescent="0.2">
      <c r="B1098" s="7"/>
    </row>
    <row r="1099" spans="2:2" x14ac:dyDescent="0.2">
      <c r="B1099" s="7"/>
    </row>
    <row r="1100" spans="2:2" x14ac:dyDescent="0.2">
      <c r="B1100" s="7"/>
    </row>
    <row r="1101" spans="2:2" x14ac:dyDescent="0.2">
      <c r="B1101" s="7"/>
    </row>
    <row r="1102" spans="2:2" x14ac:dyDescent="0.2">
      <c r="B1102" s="7"/>
    </row>
    <row r="1103" spans="2:2" x14ac:dyDescent="0.2">
      <c r="B1103" s="7"/>
    </row>
    <row r="1104" spans="2:2" x14ac:dyDescent="0.2">
      <c r="B1104" s="7"/>
    </row>
    <row r="1105" spans="2:2" x14ac:dyDescent="0.2">
      <c r="B1105" s="7"/>
    </row>
    <row r="1106" spans="2:2" x14ac:dyDescent="0.2">
      <c r="B1106" s="7"/>
    </row>
    <row r="1107" spans="2:2" x14ac:dyDescent="0.2">
      <c r="B1107" s="7"/>
    </row>
    <row r="1108" spans="2:2" x14ac:dyDescent="0.2">
      <c r="B1108" s="7"/>
    </row>
    <row r="1109" spans="2:2" x14ac:dyDescent="0.2">
      <c r="B1109" s="7"/>
    </row>
    <row r="1110" spans="2:2" x14ac:dyDescent="0.2">
      <c r="B1110" s="7"/>
    </row>
    <row r="1111" spans="2:2" x14ac:dyDescent="0.2">
      <c r="B1111" s="7"/>
    </row>
    <row r="1112" spans="2:2" x14ac:dyDescent="0.2">
      <c r="B1112" s="7"/>
    </row>
    <row r="1113" spans="2:2" x14ac:dyDescent="0.2">
      <c r="B1113" s="7"/>
    </row>
    <row r="1114" spans="2:2" x14ac:dyDescent="0.2">
      <c r="B1114" s="7"/>
    </row>
    <row r="1115" spans="2:2" x14ac:dyDescent="0.2">
      <c r="B1115" s="7"/>
    </row>
    <row r="1116" spans="2:2" x14ac:dyDescent="0.2">
      <c r="B1116" s="7"/>
    </row>
    <row r="1117" spans="2:2" x14ac:dyDescent="0.2">
      <c r="B1117" s="7"/>
    </row>
    <row r="1118" spans="2:2" x14ac:dyDescent="0.2">
      <c r="B1118" s="7"/>
    </row>
    <row r="1119" spans="2:2" x14ac:dyDescent="0.2">
      <c r="B1119" s="7"/>
    </row>
    <row r="1120" spans="2:2" x14ac:dyDescent="0.2">
      <c r="B1120" s="7"/>
    </row>
    <row r="1121" spans="2:2" x14ac:dyDescent="0.2">
      <c r="B1121" s="7"/>
    </row>
    <row r="1122" spans="2:2" x14ac:dyDescent="0.2">
      <c r="B1122" s="7"/>
    </row>
    <row r="1123" spans="2:2" x14ac:dyDescent="0.2">
      <c r="B1123" s="7"/>
    </row>
    <row r="1124" spans="2:2" x14ac:dyDescent="0.2">
      <c r="B1124" s="7"/>
    </row>
    <row r="1125" spans="2:2" x14ac:dyDescent="0.2">
      <c r="B1125" s="7"/>
    </row>
    <row r="1126" spans="2:2" x14ac:dyDescent="0.2">
      <c r="B1126" s="7"/>
    </row>
    <row r="1127" spans="2:2" x14ac:dyDescent="0.2">
      <c r="B1127" s="7"/>
    </row>
    <row r="1128" spans="2:2" x14ac:dyDescent="0.2">
      <c r="B1128" s="7"/>
    </row>
    <row r="1129" spans="2:2" x14ac:dyDescent="0.2">
      <c r="B1129" s="7"/>
    </row>
    <row r="1130" spans="2:2" x14ac:dyDescent="0.2">
      <c r="B1130" s="7"/>
    </row>
    <row r="1131" spans="2:2" x14ac:dyDescent="0.2">
      <c r="B1131" s="7"/>
    </row>
    <row r="1132" spans="2:2" x14ac:dyDescent="0.2">
      <c r="B1132" s="7"/>
    </row>
    <row r="1133" spans="2:2" x14ac:dyDescent="0.2">
      <c r="B1133" s="7"/>
    </row>
    <row r="1134" spans="2:2" x14ac:dyDescent="0.2">
      <c r="B1134" s="7"/>
    </row>
    <row r="1135" spans="2:2" x14ac:dyDescent="0.2">
      <c r="B1135" s="7"/>
    </row>
    <row r="1136" spans="2:2" x14ac:dyDescent="0.2">
      <c r="B1136" s="7"/>
    </row>
    <row r="1137" spans="2:2" x14ac:dyDescent="0.2">
      <c r="B1137" s="7"/>
    </row>
    <row r="1138" spans="2:2" x14ac:dyDescent="0.2">
      <c r="B1138" s="7"/>
    </row>
    <row r="1139" spans="2:2" x14ac:dyDescent="0.2">
      <c r="B1139" s="7"/>
    </row>
    <row r="1140" spans="2:2" x14ac:dyDescent="0.2">
      <c r="B1140" s="7"/>
    </row>
    <row r="1141" spans="2:2" x14ac:dyDescent="0.2">
      <c r="B1141" s="7"/>
    </row>
    <row r="1142" spans="2:2" x14ac:dyDescent="0.2">
      <c r="B1142" s="7"/>
    </row>
    <row r="1143" spans="2:2" x14ac:dyDescent="0.2">
      <c r="B1143" s="7"/>
    </row>
    <row r="1144" spans="2:2" x14ac:dyDescent="0.2">
      <c r="B1144" s="7"/>
    </row>
    <row r="1145" spans="2:2" x14ac:dyDescent="0.2">
      <c r="B1145" s="7"/>
    </row>
    <row r="1146" spans="2:2" x14ac:dyDescent="0.2">
      <c r="B1146" s="7"/>
    </row>
    <row r="1147" spans="2:2" x14ac:dyDescent="0.2">
      <c r="B1147" s="7"/>
    </row>
    <row r="1148" spans="2:2" x14ac:dyDescent="0.2">
      <c r="B1148" s="7"/>
    </row>
    <row r="1149" spans="2:2" x14ac:dyDescent="0.2">
      <c r="B1149" s="7"/>
    </row>
    <row r="1150" spans="2:2" x14ac:dyDescent="0.2">
      <c r="B1150" s="7"/>
    </row>
    <row r="1151" spans="2:2" x14ac:dyDescent="0.2">
      <c r="B1151" s="7"/>
    </row>
    <row r="1152" spans="2:2" x14ac:dyDescent="0.2">
      <c r="B1152" s="7"/>
    </row>
    <row r="1153" spans="2:2" x14ac:dyDescent="0.2">
      <c r="B1153" s="7"/>
    </row>
    <row r="1154" spans="2:2" x14ac:dyDescent="0.2">
      <c r="B1154" s="7"/>
    </row>
    <row r="1155" spans="2:2" x14ac:dyDescent="0.2">
      <c r="B1155" s="7"/>
    </row>
    <row r="1156" spans="2:2" x14ac:dyDescent="0.2">
      <c r="B1156" s="7"/>
    </row>
    <row r="1157" spans="2:2" x14ac:dyDescent="0.2">
      <c r="B1157" s="7"/>
    </row>
    <row r="1158" spans="2:2" x14ac:dyDescent="0.2">
      <c r="B1158" s="7"/>
    </row>
    <row r="1159" spans="2:2" x14ac:dyDescent="0.2">
      <c r="B1159" s="7"/>
    </row>
    <row r="1160" spans="2:2" x14ac:dyDescent="0.2">
      <c r="B1160" s="7"/>
    </row>
    <row r="1161" spans="2:2" x14ac:dyDescent="0.2">
      <c r="B1161" s="7"/>
    </row>
    <row r="1162" spans="2:2" x14ac:dyDescent="0.2">
      <c r="B1162" s="7"/>
    </row>
    <row r="1163" spans="2:2" x14ac:dyDescent="0.2">
      <c r="B1163" s="7"/>
    </row>
    <row r="1164" spans="2:2" x14ac:dyDescent="0.2">
      <c r="B1164" s="7"/>
    </row>
    <row r="1165" spans="2:2" x14ac:dyDescent="0.2">
      <c r="B1165" s="7"/>
    </row>
    <row r="1166" spans="2:2" x14ac:dyDescent="0.2">
      <c r="B1166" s="7"/>
    </row>
    <row r="1167" spans="2:2" x14ac:dyDescent="0.2">
      <c r="B1167" s="7"/>
    </row>
    <row r="1168" spans="2:2" x14ac:dyDescent="0.2">
      <c r="B1168" s="7"/>
    </row>
    <row r="1169" spans="2:2" x14ac:dyDescent="0.2">
      <c r="B1169" s="7"/>
    </row>
    <row r="1170" spans="2:2" x14ac:dyDescent="0.2">
      <c r="B1170" s="7"/>
    </row>
    <row r="1171" spans="2:2" x14ac:dyDescent="0.2">
      <c r="B1171" s="7"/>
    </row>
    <row r="1172" spans="2:2" x14ac:dyDescent="0.2">
      <c r="B1172" s="7"/>
    </row>
    <row r="1173" spans="2:2" x14ac:dyDescent="0.2">
      <c r="B1173" s="7"/>
    </row>
    <row r="1174" spans="2:2" x14ac:dyDescent="0.2">
      <c r="B1174" s="7"/>
    </row>
    <row r="1175" spans="2:2" x14ac:dyDescent="0.2">
      <c r="B1175" s="7"/>
    </row>
    <row r="1176" spans="2:2" x14ac:dyDescent="0.2">
      <c r="B1176" s="7"/>
    </row>
    <row r="1177" spans="2:2" x14ac:dyDescent="0.2">
      <c r="B1177" s="7"/>
    </row>
    <row r="1178" spans="2:2" x14ac:dyDescent="0.2">
      <c r="B1178" s="7"/>
    </row>
    <row r="1179" spans="2:2" x14ac:dyDescent="0.2">
      <c r="B1179" s="7"/>
    </row>
    <row r="1180" spans="2:2" x14ac:dyDescent="0.2">
      <c r="B1180" s="7"/>
    </row>
    <row r="1181" spans="2:2" x14ac:dyDescent="0.2">
      <c r="B1181" s="7"/>
    </row>
    <row r="1182" spans="2:2" x14ac:dyDescent="0.2">
      <c r="B1182" s="7"/>
    </row>
    <row r="1183" spans="2:2" x14ac:dyDescent="0.2">
      <c r="B1183" s="7"/>
    </row>
    <row r="1184" spans="2:2" x14ac:dyDescent="0.2">
      <c r="B1184" s="7"/>
    </row>
    <row r="1185" spans="2:2" x14ac:dyDescent="0.2">
      <c r="B1185" s="7"/>
    </row>
    <row r="1186" spans="2:2" x14ac:dyDescent="0.2">
      <c r="B1186" s="7"/>
    </row>
    <row r="1187" spans="2:2" x14ac:dyDescent="0.2">
      <c r="B1187" s="7"/>
    </row>
    <row r="1188" spans="2:2" x14ac:dyDescent="0.2">
      <c r="B1188" s="7"/>
    </row>
    <row r="1189" spans="2:2" x14ac:dyDescent="0.2">
      <c r="B1189" s="7"/>
    </row>
    <row r="1190" spans="2:2" x14ac:dyDescent="0.2">
      <c r="B1190" s="7"/>
    </row>
    <row r="1191" spans="2:2" x14ac:dyDescent="0.2">
      <c r="B1191" s="7"/>
    </row>
    <row r="1192" spans="2:2" x14ac:dyDescent="0.2">
      <c r="B1192" s="7"/>
    </row>
    <row r="1193" spans="2:2" x14ac:dyDescent="0.2">
      <c r="B1193" s="7"/>
    </row>
    <row r="1194" spans="2:2" x14ac:dyDescent="0.2">
      <c r="B1194" s="7"/>
    </row>
    <row r="1195" spans="2:2" x14ac:dyDescent="0.2">
      <c r="B1195" s="7"/>
    </row>
    <row r="1196" spans="2:2" x14ac:dyDescent="0.2">
      <c r="B1196" s="7"/>
    </row>
    <row r="1197" spans="2:2" x14ac:dyDescent="0.2">
      <c r="B1197" s="7"/>
    </row>
    <row r="1198" spans="2:2" x14ac:dyDescent="0.2">
      <c r="B1198" s="7"/>
    </row>
    <row r="1199" spans="2:2" x14ac:dyDescent="0.2">
      <c r="B1199" s="7"/>
    </row>
    <row r="1200" spans="2:2" x14ac:dyDescent="0.2">
      <c r="B1200" s="7"/>
    </row>
    <row r="1201" spans="2:2" x14ac:dyDescent="0.2">
      <c r="B1201" s="7"/>
    </row>
    <row r="1202" spans="2:2" x14ac:dyDescent="0.2">
      <c r="B1202" s="7"/>
    </row>
    <row r="1203" spans="2:2" x14ac:dyDescent="0.2">
      <c r="B1203" s="7"/>
    </row>
    <row r="1204" spans="2:2" x14ac:dyDescent="0.2">
      <c r="B1204" s="7"/>
    </row>
    <row r="1205" spans="2:2" x14ac:dyDescent="0.2">
      <c r="B1205" s="7"/>
    </row>
    <row r="1206" spans="2:2" x14ac:dyDescent="0.2">
      <c r="B1206" s="7"/>
    </row>
    <row r="1207" spans="2:2" x14ac:dyDescent="0.2">
      <c r="B1207" s="7"/>
    </row>
    <row r="1208" spans="2:2" x14ac:dyDescent="0.2">
      <c r="B1208" s="7"/>
    </row>
    <row r="1209" spans="2:2" x14ac:dyDescent="0.2">
      <c r="B1209" s="7"/>
    </row>
    <row r="1210" spans="2:2" x14ac:dyDescent="0.2">
      <c r="B1210" s="7"/>
    </row>
    <row r="1211" spans="2:2" x14ac:dyDescent="0.2">
      <c r="B1211" s="7"/>
    </row>
    <row r="1212" spans="2:2" x14ac:dyDescent="0.2">
      <c r="B1212" s="7"/>
    </row>
    <row r="1213" spans="2:2" x14ac:dyDescent="0.2">
      <c r="B1213" s="7"/>
    </row>
    <row r="1214" spans="2:2" x14ac:dyDescent="0.2">
      <c r="B1214" s="7"/>
    </row>
    <row r="1215" spans="2:2" x14ac:dyDescent="0.2">
      <c r="B1215" s="7"/>
    </row>
    <row r="1216" spans="2:2" x14ac:dyDescent="0.2">
      <c r="B1216" s="7"/>
    </row>
    <row r="1217" spans="2:2" x14ac:dyDescent="0.2">
      <c r="B1217" s="7"/>
    </row>
    <row r="1218" spans="2:2" x14ac:dyDescent="0.2">
      <c r="B1218" s="7"/>
    </row>
    <row r="1219" spans="2:2" x14ac:dyDescent="0.2">
      <c r="B1219" s="7"/>
    </row>
    <row r="1220" spans="2:2" x14ac:dyDescent="0.2">
      <c r="B1220" s="7"/>
    </row>
    <row r="1221" spans="2:2" x14ac:dyDescent="0.2">
      <c r="B1221" s="7"/>
    </row>
    <row r="1222" spans="2:2" x14ac:dyDescent="0.2">
      <c r="B1222" s="7"/>
    </row>
    <row r="1223" spans="2:2" x14ac:dyDescent="0.2">
      <c r="B1223" s="7"/>
    </row>
    <row r="1224" spans="2:2" x14ac:dyDescent="0.2">
      <c r="B1224" s="7"/>
    </row>
    <row r="1225" spans="2:2" x14ac:dyDescent="0.2">
      <c r="B1225" s="7"/>
    </row>
    <row r="1226" spans="2:2" x14ac:dyDescent="0.2">
      <c r="B1226" s="7"/>
    </row>
    <row r="1227" spans="2:2" x14ac:dyDescent="0.2">
      <c r="B1227" s="7"/>
    </row>
    <row r="1228" spans="2:2" x14ac:dyDescent="0.2">
      <c r="B1228" s="7"/>
    </row>
    <row r="1229" spans="2:2" x14ac:dyDescent="0.2">
      <c r="B1229" s="7"/>
    </row>
    <row r="1230" spans="2:2" x14ac:dyDescent="0.2">
      <c r="B1230" s="7"/>
    </row>
    <row r="1231" spans="2:2" x14ac:dyDescent="0.2">
      <c r="B1231" s="7"/>
    </row>
    <row r="1232" spans="2:2" x14ac:dyDescent="0.2">
      <c r="B1232" s="7"/>
    </row>
    <row r="1233" spans="2:2" x14ac:dyDescent="0.2">
      <c r="B1233" s="7"/>
    </row>
    <row r="1234" spans="2:2" x14ac:dyDescent="0.2">
      <c r="B1234" s="7"/>
    </row>
    <row r="1235" spans="2:2" x14ac:dyDescent="0.2">
      <c r="B1235" s="7"/>
    </row>
    <row r="1236" spans="2:2" x14ac:dyDescent="0.2">
      <c r="B1236" s="7"/>
    </row>
    <row r="1237" spans="2:2" x14ac:dyDescent="0.2">
      <c r="B1237" s="7"/>
    </row>
    <row r="1238" spans="2:2" x14ac:dyDescent="0.2">
      <c r="B1238" s="7"/>
    </row>
    <row r="1239" spans="2:2" x14ac:dyDescent="0.2">
      <c r="B1239" s="7"/>
    </row>
    <row r="1240" spans="2:2" x14ac:dyDescent="0.2">
      <c r="B1240" s="7"/>
    </row>
    <row r="1241" spans="2:2" x14ac:dyDescent="0.2">
      <c r="B1241" s="7"/>
    </row>
    <row r="1242" spans="2:2" x14ac:dyDescent="0.2">
      <c r="B1242" s="7"/>
    </row>
    <row r="1243" spans="2:2" x14ac:dyDescent="0.2">
      <c r="B1243" s="7"/>
    </row>
    <row r="1244" spans="2:2" x14ac:dyDescent="0.2">
      <c r="B1244" s="7"/>
    </row>
    <row r="1245" spans="2:2" x14ac:dyDescent="0.2">
      <c r="B1245" s="7"/>
    </row>
    <row r="1246" spans="2:2" x14ac:dyDescent="0.2">
      <c r="B1246" s="7"/>
    </row>
    <row r="1247" spans="2:2" x14ac:dyDescent="0.2">
      <c r="B1247" s="7"/>
    </row>
    <row r="1248" spans="2:2" x14ac:dyDescent="0.2">
      <c r="B1248" s="7"/>
    </row>
    <row r="1249" spans="2:2" x14ac:dyDescent="0.2">
      <c r="B1249" s="7"/>
    </row>
    <row r="1250" spans="2:2" x14ac:dyDescent="0.2">
      <c r="B1250" s="7"/>
    </row>
    <row r="1251" spans="2:2" x14ac:dyDescent="0.2">
      <c r="B1251" s="7"/>
    </row>
    <row r="1252" spans="2:2" x14ac:dyDescent="0.2">
      <c r="B1252" s="7"/>
    </row>
    <row r="1253" spans="2:2" x14ac:dyDescent="0.2">
      <c r="B1253" s="7"/>
    </row>
    <row r="1254" spans="2:2" x14ac:dyDescent="0.2">
      <c r="B1254" s="7"/>
    </row>
    <row r="1255" spans="2:2" x14ac:dyDescent="0.2">
      <c r="B1255" s="7"/>
    </row>
    <row r="1256" spans="2:2" x14ac:dyDescent="0.2">
      <c r="B1256" s="7"/>
    </row>
    <row r="1257" spans="2:2" x14ac:dyDescent="0.2">
      <c r="B1257" s="7"/>
    </row>
    <row r="1258" spans="2:2" x14ac:dyDescent="0.2">
      <c r="B1258" s="7"/>
    </row>
    <row r="1259" spans="2:2" x14ac:dyDescent="0.2">
      <c r="B1259" s="7"/>
    </row>
    <row r="1260" spans="2:2" x14ac:dyDescent="0.2">
      <c r="B1260" s="7"/>
    </row>
    <row r="1261" spans="2:2" x14ac:dyDescent="0.2">
      <c r="B1261" s="7"/>
    </row>
    <row r="1262" spans="2:2" x14ac:dyDescent="0.2">
      <c r="B1262" s="7"/>
    </row>
    <row r="1263" spans="2:2" x14ac:dyDescent="0.2">
      <c r="B1263" s="7"/>
    </row>
    <row r="1264" spans="2:2" x14ac:dyDescent="0.2">
      <c r="B1264" s="7"/>
    </row>
    <row r="1265" spans="2:2" x14ac:dyDescent="0.2">
      <c r="B1265" s="7"/>
    </row>
    <row r="1266" spans="2:2" x14ac:dyDescent="0.2">
      <c r="B1266" s="7"/>
    </row>
    <row r="1267" spans="2:2" x14ac:dyDescent="0.2">
      <c r="B1267" s="7"/>
    </row>
    <row r="1268" spans="2:2" x14ac:dyDescent="0.2">
      <c r="B1268" s="7"/>
    </row>
    <row r="1269" spans="2:2" x14ac:dyDescent="0.2">
      <c r="B1269" s="7"/>
    </row>
    <row r="1270" spans="2:2" x14ac:dyDescent="0.2">
      <c r="B1270" s="7"/>
    </row>
    <row r="1271" spans="2:2" x14ac:dyDescent="0.2">
      <c r="B1271" s="7"/>
    </row>
    <row r="1272" spans="2:2" x14ac:dyDescent="0.2">
      <c r="B1272" s="7"/>
    </row>
    <row r="1273" spans="2:2" x14ac:dyDescent="0.2">
      <c r="B1273" s="7"/>
    </row>
    <row r="1274" spans="2:2" x14ac:dyDescent="0.2">
      <c r="B1274" s="7"/>
    </row>
    <row r="1275" spans="2:2" x14ac:dyDescent="0.2">
      <c r="B1275" s="7"/>
    </row>
    <row r="1276" spans="2:2" x14ac:dyDescent="0.2">
      <c r="B1276" s="7"/>
    </row>
    <row r="1277" spans="2:2" x14ac:dyDescent="0.2">
      <c r="B1277" s="7"/>
    </row>
    <row r="1278" spans="2:2" x14ac:dyDescent="0.2">
      <c r="B1278" s="7"/>
    </row>
    <row r="1279" spans="2:2" x14ac:dyDescent="0.2">
      <c r="B1279" s="7"/>
    </row>
    <row r="1280" spans="2:2" x14ac:dyDescent="0.2">
      <c r="B1280" s="7"/>
    </row>
    <row r="1281" spans="2:2" x14ac:dyDescent="0.2">
      <c r="B1281" s="7"/>
    </row>
    <row r="1282" spans="2:2" x14ac:dyDescent="0.2">
      <c r="B1282" s="7"/>
    </row>
    <row r="1283" spans="2:2" x14ac:dyDescent="0.2">
      <c r="B1283" s="7"/>
    </row>
    <row r="1284" spans="2:2" x14ac:dyDescent="0.2">
      <c r="B1284" s="7"/>
    </row>
    <row r="1285" spans="2:2" x14ac:dyDescent="0.2">
      <c r="B1285" s="7"/>
    </row>
    <row r="1286" spans="2:2" x14ac:dyDescent="0.2">
      <c r="B1286" s="7"/>
    </row>
    <row r="1287" spans="2:2" x14ac:dyDescent="0.2">
      <c r="B1287" s="7"/>
    </row>
    <row r="1288" spans="2:2" x14ac:dyDescent="0.2">
      <c r="B1288" s="7"/>
    </row>
    <row r="1289" spans="2:2" x14ac:dyDescent="0.2">
      <c r="B1289" s="7"/>
    </row>
    <row r="1290" spans="2:2" x14ac:dyDescent="0.2">
      <c r="B1290" s="7"/>
    </row>
    <row r="1291" spans="2:2" x14ac:dyDescent="0.2">
      <c r="B1291" s="7"/>
    </row>
    <row r="1292" spans="2:2" x14ac:dyDescent="0.2">
      <c r="B1292" s="7"/>
    </row>
    <row r="1293" spans="2:2" x14ac:dyDescent="0.2">
      <c r="B1293" s="7"/>
    </row>
    <row r="1294" spans="2:2" x14ac:dyDescent="0.2">
      <c r="B1294" s="7"/>
    </row>
    <row r="1295" spans="2:2" x14ac:dyDescent="0.2">
      <c r="B1295" s="7"/>
    </row>
    <row r="1296" spans="2:2" x14ac:dyDescent="0.2">
      <c r="B1296" s="7"/>
    </row>
    <row r="1297" spans="2:2" x14ac:dyDescent="0.2">
      <c r="B1297" s="7"/>
    </row>
    <row r="1298" spans="2:2" x14ac:dyDescent="0.2">
      <c r="B1298" s="7"/>
    </row>
    <row r="1299" spans="2:2" x14ac:dyDescent="0.2">
      <c r="B1299" s="7"/>
    </row>
    <row r="1300" spans="2:2" x14ac:dyDescent="0.2">
      <c r="B1300" s="7"/>
    </row>
    <row r="1301" spans="2:2" x14ac:dyDescent="0.2">
      <c r="B1301" s="7"/>
    </row>
    <row r="1302" spans="2:2" x14ac:dyDescent="0.2">
      <c r="B1302" s="7"/>
    </row>
    <row r="1303" spans="2:2" x14ac:dyDescent="0.2">
      <c r="B1303" s="7"/>
    </row>
    <row r="1304" spans="2:2" x14ac:dyDescent="0.2">
      <c r="B1304" s="7"/>
    </row>
    <row r="1305" spans="2:2" x14ac:dyDescent="0.2">
      <c r="B1305" s="7"/>
    </row>
    <row r="1306" spans="2:2" x14ac:dyDescent="0.2">
      <c r="B1306" s="7"/>
    </row>
    <row r="1307" spans="2:2" x14ac:dyDescent="0.2">
      <c r="B1307" s="7"/>
    </row>
    <row r="1308" spans="2:2" x14ac:dyDescent="0.2">
      <c r="B1308" s="7"/>
    </row>
    <row r="1309" spans="2:2" x14ac:dyDescent="0.2">
      <c r="B1309" s="7"/>
    </row>
    <row r="1310" spans="2:2" x14ac:dyDescent="0.2">
      <c r="B1310" s="7"/>
    </row>
    <row r="1311" spans="2:2" x14ac:dyDescent="0.2">
      <c r="B1311" s="7"/>
    </row>
    <row r="1312" spans="2:2" x14ac:dyDescent="0.2">
      <c r="B1312" s="7"/>
    </row>
    <row r="1313" spans="2:2" x14ac:dyDescent="0.2">
      <c r="B1313" s="7"/>
    </row>
    <row r="1314" spans="2:2" x14ac:dyDescent="0.2">
      <c r="B1314" s="7"/>
    </row>
    <row r="1315" spans="2:2" x14ac:dyDescent="0.2">
      <c r="B1315" s="7"/>
    </row>
    <row r="1316" spans="2:2" x14ac:dyDescent="0.2">
      <c r="B1316" s="7"/>
    </row>
    <row r="1317" spans="2:2" x14ac:dyDescent="0.2">
      <c r="B1317" s="7"/>
    </row>
    <row r="1318" spans="2:2" x14ac:dyDescent="0.2">
      <c r="B1318" s="7"/>
    </row>
    <row r="1319" spans="2:2" x14ac:dyDescent="0.2">
      <c r="B1319" s="7"/>
    </row>
    <row r="1320" spans="2:2" x14ac:dyDescent="0.2">
      <c r="B1320" s="7"/>
    </row>
    <row r="1321" spans="2:2" x14ac:dyDescent="0.2">
      <c r="B1321" s="7"/>
    </row>
    <row r="1322" spans="2:2" x14ac:dyDescent="0.2">
      <c r="B1322" s="7"/>
    </row>
    <row r="1323" spans="2:2" x14ac:dyDescent="0.2">
      <c r="B1323" s="7"/>
    </row>
    <row r="1324" spans="2:2" x14ac:dyDescent="0.2">
      <c r="B1324" s="7"/>
    </row>
    <row r="1325" spans="2:2" x14ac:dyDescent="0.2">
      <c r="B1325" s="7"/>
    </row>
    <row r="1326" spans="2:2" x14ac:dyDescent="0.2">
      <c r="B1326" s="7"/>
    </row>
    <row r="1327" spans="2:2" x14ac:dyDescent="0.2">
      <c r="B1327" s="7"/>
    </row>
    <row r="1328" spans="2:2" x14ac:dyDescent="0.2">
      <c r="B1328" s="7"/>
    </row>
    <row r="1329" spans="2:2" x14ac:dyDescent="0.2">
      <c r="B1329" s="7"/>
    </row>
    <row r="1330" spans="2:2" x14ac:dyDescent="0.2">
      <c r="B1330" s="7"/>
    </row>
    <row r="1331" spans="2:2" x14ac:dyDescent="0.2">
      <c r="B1331" s="7"/>
    </row>
    <row r="1332" spans="2:2" x14ac:dyDescent="0.2">
      <c r="B1332" s="7"/>
    </row>
    <row r="1333" spans="2:2" x14ac:dyDescent="0.2">
      <c r="B1333" s="7"/>
    </row>
    <row r="1334" spans="2:2" x14ac:dyDescent="0.2">
      <c r="B1334" s="7"/>
    </row>
    <row r="1335" spans="2:2" x14ac:dyDescent="0.2">
      <c r="B1335" s="7"/>
    </row>
    <row r="1336" spans="2:2" x14ac:dyDescent="0.2">
      <c r="B1336" s="7"/>
    </row>
    <row r="1337" spans="2:2" x14ac:dyDescent="0.2">
      <c r="B1337" s="7"/>
    </row>
    <row r="1338" spans="2:2" x14ac:dyDescent="0.2">
      <c r="B1338" s="7"/>
    </row>
    <row r="1339" spans="2:2" x14ac:dyDescent="0.2">
      <c r="B1339" s="7"/>
    </row>
    <row r="1340" spans="2:2" x14ac:dyDescent="0.2">
      <c r="B1340" s="7"/>
    </row>
    <row r="1341" spans="2:2" x14ac:dyDescent="0.2">
      <c r="B1341" s="7"/>
    </row>
    <row r="1342" spans="2:2" x14ac:dyDescent="0.2">
      <c r="B1342" s="7"/>
    </row>
    <row r="1343" spans="2:2" x14ac:dyDescent="0.2">
      <c r="B1343" s="7"/>
    </row>
    <row r="1344" spans="2:2" x14ac:dyDescent="0.2">
      <c r="B1344" s="7"/>
    </row>
    <row r="1345" spans="2:2" x14ac:dyDescent="0.2">
      <c r="B1345" s="7"/>
    </row>
    <row r="1346" spans="2:2" x14ac:dyDescent="0.2">
      <c r="B1346" s="7"/>
    </row>
    <row r="1347" spans="2:2" x14ac:dyDescent="0.2">
      <c r="B1347" s="7"/>
    </row>
    <row r="1348" spans="2:2" x14ac:dyDescent="0.2">
      <c r="B1348" s="7"/>
    </row>
    <row r="1349" spans="2:2" x14ac:dyDescent="0.2">
      <c r="B1349" s="7"/>
    </row>
    <row r="1350" spans="2:2" x14ac:dyDescent="0.2">
      <c r="B1350" s="7"/>
    </row>
    <row r="1351" spans="2:2" x14ac:dyDescent="0.2">
      <c r="B1351" s="7"/>
    </row>
    <row r="1352" spans="2:2" x14ac:dyDescent="0.2">
      <c r="B1352" s="7"/>
    </row>
    <row r="1353" spans="2:2" x14ac:dyDescent="0.2">
      <c r="B1353" s="7"/>
    </row>
    <row r="1354" spans="2:2" x14ac:dyDescent="0.2">
      <c r="B1354" s="7"/>
    </row>
    <row r="1355" spans="2:2" x14ac:dyDescent="0.2">
      <c r="B1355" s="7"/>
    </row>
    <row r="1356" spans="2:2" x14ac:dyDescent="0.2">
      <c r="B1356" s="7"/>
    </row>
    <row r="1357" spans="2:2" x14ac:dyDescent="0.2">
      <c r="B1357" s="7"/>
    </row>
    <row r="1358" spans="2:2" x14ac:dyDescent="0.2">
      <c r="B1358" s="7"/>
    </row>
    <row r="1359" spans="2:2" x14ac:dyDescent="0.2">
      <c r="B1359" s="7"/>
    </row>
    <row r="1360" spans="2:2" x14ac:dyDescent="0.2">
      <c r="B1360" s="7"/>
    </row>
    <row r="1361" spans="2:2" x14ac:dyDescent="0.2">
      <c r="B1361" s="7"/>
    </row>
    <row r="1362" spans="2:2" x14ac:dyDescent="0.2">
      <c r="B1362" s="7"/>
    </row>
    <row r="1363" spans="2:2" x14ac:dyDescent="0.2">
      <c r="B1363" s="7"/>
    </row>
    <row r="1364" spans="2:2" x14ac:dyDescent="0.2">
      <c r="B1364" s="7"/>
    </row>
    <row r="1365" spans="2:2" x14ac:dyDescent="0.2">
      <c r="B1365" s="7"/>
    </row>
    <row r="1366" spans="2:2" x14ac:dyDescent="0.2">
      <c r="B1366" s="7"/>
    </row>
    <row r="1367" spans="2:2" x14ac:dyDescent="0.2">
      <c r="B1367" s="7"/>
    </row>
    <row r="1368" spans="2:2" x14ac:dyDescent="0.2">
      <c r="B1368" s="7"/>
    </row>
    <row r="1369" spans="2:2" x14ac:dyDescent="0.2">
      <c r="B1369" s="7"/>
    </row>
    <row r="1370" spans="2:2" x14ac:dyDescent="0.2">
      <c r="B1370" s="7"/>
    </row>
    <row r="1371" spans="2:2" x14ac:dyDescent="0.2">
      <c r="B1371" s="7"/>
    </row>
    <row r="1372" spans="2:2" x14ac:dyDescent="0.2">
      <c r="B1372" s="7"/>
    </row>
    <row r="1373" spans="2:2" x14ac:dyDescent="0.2">
      <c r="B1373" s="7"/>
    </row>
    <row r="1374" spans="2:2" x14ac:dyDescent="0.2">
      <c r="B1374" s="7"/>
    </row>
    <row r="1375" spans="2:2" x14ac:dyDescent="0.2">
      <c r="B1375" s="7"/>
    </row>
    <row r="1376" spans="2:2" x14ac:dyDescent="0.2">
      <c r="B1376" s="7"/>
    </row>
    <row r="1377" spans="2:2" x14ac:dyDescent="0.2">
      <c r="B1377" s="7"/>
    </row>
    <row r="1378" spans="2:2" x14ac:dyDescent="0.2">
      <c r="B1378" s="7"/>
    </row>
    <row r="1379" spans="2:2" x14ac:dyDescent="0.2">
      <c r="B1379" s="7"/>
    </row>
    <row r="1380" spans="2:2" x14ac:dyDescent="0.2">
      <c r="B1380" s="7"/>
    </row>
    <row r="1381" spans="2:2" x14ac:dyDescent="0.2">
      <c r="B1381" s="7"/>
    </row>
    <row r="1382" spans="2:2" x14ac:dyDescent="0.2">
      <c r="B1382" s="7"/>
    </row>
    <row r="1383" spans="2:2" x14ac:dyDescent="0.2">
      <c r="B1383" s="7"/>
    </row>
    <row r="1384" spans="2:2" x14ac:dyDescent="0.2">
      <c r="B1384" s="7"/>
    </row>
    <row r="1385" spans="2:2" x14ac:dyDescent="0.2">
      <c r="B1385" s="7"/>
    </row>
    <row r="1386" spans="2:2" x14ac:dyDescent="0.2">
      <c r="B1386" s="7"/>
    </row>
    <row r="1387" spans="2:2" x14ac:dyDescent="0.2">
      <c r="B1387" s="7"/>
    </row>
    <row r="1388" spans="2:2" x14ac:dyDescent="0.2">
      <c r="B1388" s="7"/>
    </row>
    <row r="1389" spans="2:2" x14ac:dyDescent="0.2">
      <c r="B1389" s="7"/>
    </row>
    <row r="1390" spans="2:2" x14ac:dyDescent="0.2">
      <c r="B1390" s="7"/>
    </row>
    <row r="1391" spans="2:2" x14ac:dyDescent="0.2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2.75" x14ac:dyDescent="0.2"/>
  <cols>
    <col min="1" max="1" width="5.85546875" style="14" bestFit="1" customWidth="1"/>
    <col min="2" max="2" width="12.140625" customWidth="1"/>
    <col min="3" max="3" width="14.5703125" customWidth="1"/>
    <col min="4" max="4" width="17.42578125" customWidth="1"/>
    <col min="5" max="5" width="12.140625" customWidth="1"/>
    <col min="6" max="6" width="17.7109375" customWidth="1"/>
    <col min="7" max="7" width="9.5703125" customWidth="1"/>
    <col min="8" max="8" width="17.42578125" customWidth="1"/>
  </cols>
  <sheetData>
    <row r="1" spans="1:8" x14ac:dyDescent="0.2">
      <c r="C1" s="4" t="s">
        <v>98</v>
      </c>
    </row>
    <row r="2" spans="1:8" x14ac:dyDescent="0.2">
      <c r="C2" s="4" t="s">
        <v>99</v>
      </c>
    </row>
    <row r="3" spans="1:8" x14ac:dyDescent="0.2">
      <c r="C3" s="4"/>
    </row>
    <row r="4" spans="1:8" x14ac:dyDescent="0.2">
      <c r="B4" s="12" t="s">
        <v>82</v>
      </c>
      <c r="C4" s="4"/>
      <c r="D4" s="99">
        <f>B56</f>
        <v>44792</v>
      </c>
    </row>
    <row r="5" spans="1:8" x14ac:dyDescent="0.2">
      <c r="C5" s="4"/>
    </row>
    <row r="6" spans="1:8" ht="13.5" thickBot="1" x14ac:dyDescent="0.25"/>
    <row r="7" spans="1:8" x14ac:dyDescent="0.2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5" thickBot="1" x14ac:dyDescent="0.25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5" x14ac:dyDescent="0.25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5" x14ac:dyDescent="0.25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5" x14ac:dyDescent="0.25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5" x14ac:dyDescent="0.25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5" x14ac:dyDescent="0.25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5" x14ac:dyDescent="0.25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5" x14ac:dyDescent="0.25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5" x14ac:dyDescent="0.25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5" x14ac:dyDescent="0.25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5" x14ac:dyDescent="0.25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5" x14ac:dyDescent="0.25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5" x14ac:dyDescent="0.25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5" x14ac:dyDescent="0.25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5" x14ac:dyDescent="0.25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5" x14ac:dyDescent="0.25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5" x14ac:dyDescent="0.25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5" x14ac:dyDescent="0.25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5" x14ac:dyDescent="0.25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5" x14ac:dyDescent="0.25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5" x14ac:dyDescent="0.25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5" x14ac:dyDescent="0.25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5" x14ac:dyDescent="0.25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5" x14ac:dyDescent="0.25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5" x14ac:dyDescent="0.25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5" x14ac:dyDescent="0.25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5" x14ac:dyDescent="0.25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5" x14ac:dyDescent="0.25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5" x14ac:dyDescent="0.25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5" x14ac:dyDescent="0.25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5" x14ac:dyDescent="0.25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5" x14ac:dyDescent="0.25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5" x14ac:dyDescent="0.25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5" x14ac:dyDescent="0.25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5" x14ac:dyDescent="0.25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5" x14ac:dyDescent="0.25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5" x14ac:dyDescent="0.25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5" x14ac:dyDescent="0.25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5" x14ac:dyDescent="0.25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5" x14ac:dyDescent="0.25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5" x14ac:dyDescent="0.25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5" x14ac:dyDescent="0.25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5" x14ac:dyDescent="0.25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5" x14ac:dyDescent="0.25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5" x14ac:dyDescent="0.25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5" x14ac:dyDescent="0.25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5" x14ac:dyDescent="0.25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5" x14ac:dyDescent="0.25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5" x14ac:dyDescent="0.25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5" x14ac:dyDescent="0.25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5" x14ac:dyDescent="0.25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5" x14ac:dyDescent="0.25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.75" thickBot="1" x14ac:dyDescent="0.3">
      <c r="A61" s="109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">
      <c r="B62" s="7"/>
      <c r="D62" s="3"/>
    </row>
    <row r="63" spans="1:8" x14ac:dyDescent="0.2">
      <c r="B63" s="7"/>
    </row>
    <row r="64" spans="1:8" x14ac:dyDescent="0.2">
      <c r="B64" s="7"/>
    </row>
    <row r="65" spans="2:3" x14ac:dyDescent="0.2">
      <c r="B65" s="7"/>
    </row>
    <row r="66" spans="2:3" x14ac:dyDescent="0.2">
      <c r="B66" s="7"/>
      <c r="C66" s="5"/>
    </row>
    <row r="67" spans="2:3" x14ac:dyDescent="0.2">
      <c r="B67" s="7"/>
      <c r="C67" s="5"/>
    </row>
    <row r="68" spans="2:3" x14ac:dyDescent="0.2">
      <c r="B68" s="7"/>
    </row>
    <row r="69" spans="2:3" x14ac:dyDescent="0.2">
      <c r="B69" s="7"/>
    </row>
    <row r="70" spans="2:3" x14ac:dyDescent="0.2">
      <c r="B70" s="7"/>
    </row>
    <row r="71" spans="2:3" x14ac:dyDescent="0.2">
      <c r="B71" s="7"/>
    </row>
    <row r="72" spans="2:3" x14ac:dyDescent="0.2">
      <c r="B72" s="7"/>
    </row>
    <row r="73" spans="2:3" x14ac:dyDescent="0.2">
      <c r="B73" s="7"/>
    </row>
    <row r="74" spans="2:3" x14ac:dyDescent="0.2">
      <c r="B74" s="7"/>
    </row>
    <row r="75" spans="2:3" x14ac:dyDescent="0.2">
      <c r="B75" s="7"/>
    </row>
    <row r="76" spans="2:3" x14ac:dyDescent="0.2">
      <c r="B76" s="7"/>
    </row>
    <row r="77" spans="2:3" x14ac:dyDescent="0.2">
      <c r="B77" s="7"/>
    </row>
    <row r="78" spans="2:3" x14ac:dyDescent="0.2">
      <c r="B78" s="7"/>
    </row>
    <row r="79" spans="2:3" x14ac:dyDescent="0.2">
      <c r="B79" s="7"/>
    </row>
    <row r="80" spans="2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2:2" x14ac:dyDescent="0.2">
      <c r="B513" s="7"/>
    </row>
    <row r="514" spans="2:2" x14ac:dyDescent="0.2">
      <c r="B514" s="7"/>
    </row>
    <row r="515" spans="2:2" x14ac:dyDescent="0.2">
      <c r="B515" s="7"/>
    </row>
    <row r="516" spans="2:2" x14ac:dyDescent="0.2">
      <c r="B516" s="7"/>
    </row>
    <row r="517" spans="2:2" x14ac:dyDescent="0.2">
      <c r="B517" s="7"/>
    </row>
    <row r="518" spans="2:2" x14ac:dyDescent="0.2">
      <c r="B518" s="7"/>
    </row>
    <row r="519" spans="2:2" x14ac:dyDescent="0.2">
      <c r="B519" s="7"/>
    </row>
    <row r="520" spans="2:2" x14ac:dyDescent="0.2">
      <c r="B520" s="7"/>
    </row>
    <row r="521" spans="2:2" x14ac:dyDescent="0.2">
      <c r="B521" s="7"/>
    </row>
    <row r="522" spans="2:2" x14ac:dyDescent="0.2">
      <c r="B522" s="7"/>
    </row>
    <row r="523" spans="2:2" x14ac:dyDescent="0.2">
      <c r="B523" s="7"/>
    </row>
    <row r="524" spans="2:2" x14ac:dyDescent="0.2">
      <c r="B524" s="7"/>
    </row>
    <row r="525" spans="2:2" x14ac:dyDescent="0.2">
      <c r="B525" s="7"/>
    </row>
    <row r="526" spans="2:2" x14ac:dyDescent="0.2">
      <c r="B526" s="7"/>
    </row>
    <row r="527" spans="2:2" x14ac:dyDescent="0.2">
      <c r="B527" s="7"/>
    </row>
    <row r="528" spans="2:2" x14ac:dyDescent="0.2">
      <c r="B528" s="7"/>
    </row>
    <row r="529" spans="2:2" x14ac:dyDescent="0.2">
      <c r="B529" s="7"/>
    </row>
    <row r="530" spans="2:2" x14ac:dyDescent="0.2">
      <c r="B530" s="7"/>
    </row>
    <row r="531" spans="2:2" x14ac:dyDescent="0.2">
      <c r="B531" s="7"/>
    </row>
    <row r="532" spans="2:2" x14ac:dyDescent="0.2">
      <c r="B532" s="7"/>
    </row>
    <row r="533" spans="2:2" x14ac:dyDescent="0.2">
      <c r="B533" s="7"/>
    </row>
    <row r="534" spans="2:2" x14ac:dyDescent="0.2">
      <c r="B534" s="7"/>
    </row>
    <row r="535" spans="2:2" x14ac:dyDescent="0.2">
      <c r="B535" s="7"/>
    </row>
    <row r="536" spans="2:2" x14ac:dyDescent="0.2">
      <c r="B536" s="7"/>
    </row>
    <row r="537" spans="2:2" x14ac:dyDescent="0.2">
      <c r="B537" s="7"/>
    </row>
    <row r="538" spans="2:2" x14ac:dyDescent="0.2">
      <c r="B538" s="7"/>
    </row>
    <row r="539" spans="2:2" x14ac:dyDescent="0.2">
      <c r="B539" s="7"/>
    </row>
    <row r="540" spans="2:2" x14ac:dyDescent="0.2">
      <c r="B540" s="7"/>
    </row>
    <row r="541" spans="2:2" x14ac:dyDescent="0.2">
      <c r="B541" s="7"/>
    </row>
    <row r="542" spans="2:2" x14ac:dyDescent="0.2">
      <c r="B542" s="7"/>
    </row>
    <row r="543" spans="2:2" x14ac:dyDescent="0.2">
      <c r="B543" s="7"/>
    </row>
    <row r="544" spans="2:2" x14ac:dyDescent="0.2">
      <c r="B544" s="7"/>
    </row>
    <row r="545" spans="2:2" x14ac:dyDescent="0.2">
      <c r="B545" s="7"/>
    </row>
    <row r="546" spans="2:2" x14ac:dyDescent="0.2">
      <c r="B546" s="7"/>
    </row>
    <row r="547" spans="2:2" x14ac:dyDescent="0.2">
      <c r="B547" s="7"/>
    </row>
    <row r="548" spans="2:2" x14ac:dyDescent="0.2">
      <c r="B548" s="7"/>
    </row>
    <row r="549" spans="2:2" x14ac:dyDescent="0.2">
      <c r="B549" s="7"/>
    </row>
    <row r="550" spans="2:2" x14ac:dyDescent="0.2">
      <c r="B550" s="7"/>
    </row>
    <row r="551" spans="2:2" x14ac:dyDescent="0.2">
      <c r="B551" s="7"/>
    </row>
    <row r="552" spans="2:2" x14ac:dyDescent="0.2">
      <c r="B552" s="7"/>
    </row>
    <row r="553" spans="2:2" x14ac:dyDescent="0.2">
      <c r="B553" s="7"/>
    </row>
    <row r="554" spans="2:2" x14ac:dyDescent="0.2">
      <c r="B554" s="7"/>
    </row>
    <row r="555" spans="2:2" x14ac:dyDescent="0.2">
      <c r="B555" s="7"/>
    </row>
    <row r="556" spans="2:2" x14ac:dyDescent="0.2">
      <c r="B556" s="7"/>
    </row>
    <row r="557" spans="2:2" x14ac:dyDescent="0.2">
      <c r="B557" s="7"/>
    </row>
    <row r="558" spans="2:2" x14ac:dyDescent="0.2">
      <c r="B558" s="7"/>
    </row>
    <row r="559" spans="2:2" x14ac:dyDescent="0.2">
      <c r="B559" s="7"/>
    </row>
    <row r="560" spans="2:2" x14ac:dyDescent="0.2">
      <c r="B560" s="7"/>
    </row>
    <row r="561" spans="2:2" x14ac:dyDescent="0.2">
      <c r="B561" s="7"/>
    </row>
    <row r="562" spans="2:2" x14ac:dyDescent="0.2">
      <c r="B562" s="7"/>
    </row>
    <row r="563" spans="2:2" x14ac:dyDescent="0.2">
      <c r="B563" s="7"/>
    </row>
    <row r="564" spans="2:2" x14ac:dyDescent="0.2">
      <c r="B564" s="7"/>
    </row>
    <row r="565" spans="2:2" x14ac:dyDescent="0.2">
      <c r="B565" s="7"/>
    </row>
    <row r="566" spans="2:2" x14ac:dyDescent="0.2">
      <c r="B566" s="7"/>
    </row>
    <row r="567" spans="2:2" x14ac:dyDescent="0.2">
      <c r="B567" s="7"/>
    </row>
    <row r="568" spans="2:2" x14ac:dyDescent="0.2">
      <c r="B568" s="7"/>
    </row>
    <row r="569" spans="2:2" x14ac:dyDescent="0.2">
      <c r="B569" s="7"/>
    </row>
    <row r="570" spans="2:2" x14ac:dyDescent="0.2">
      <c r="B570" s="7"/>
    </row>
    <row r="571" spans="2:2" x14ac:dyDescent="0.2">
      <c r="B571" s="7"/>
    </row>
    <row r="572" spans="2:2" x14ac:dyDescent="0.2">
      <c r="B572" s="7"/>
    </row>
    <row r="573" spans="2:2" x14ac:dyDescent="0.2">
      <c r="B573" s="7"/>
    </row>
    <row r="574" spans="2:2" x14ac:dyDescent="0.2">
      <c r="B574" s="7"/>
    </row>
    <row r="575" spans="2:2" x14ac:dyDescent="0.2">
      <c r="B575" s="7"/>
    </row>
    <row r="576" spans="2:2" x14ac:dyDescent="0.2">
      <c r="B576" s="7"/>
    </row>
    <row r="577" spans="2:2" x14ac:dyDescent="0.2">
      <c r="B577" s="7"/>
    </row>
    <row r="578" spans="2:2" x14ac:dyDescent="0.2">
      <c r="B578" s="7"/>
    </row>
    <row r="579" spans="2:2" x14ac:dyDescent="0.2">
      <c r="B579" s="7"/>
    </row>
    <row r="580" spans="2:2" x14ac:dyDescent="0.2">
      <c r="B580" s="7"/>
    </row>
    <row r="581" spans="2:2" x14ac:dyDescent="0.2">
      <c r="B581" s="7"/>
    </row>
    <row r="582" spans="2:2" x14ac:dyDescent="0.2">
      <c r="B582" s="7"/>
    </row>
    <row r="583" spans="2:2" x14ac:dyDescent="0.2">
      <c r="B583" s="7"/>
    </row>
    <row r="584" spans="2:2" x14ac:dyDescent="0.2">
      <c r="B584" s="7"/>
    </row>
    <row r="585" spans="2:2" x14ac:dyDescent="0.2">
      <c r="B585" s="7"/>
    </row>
    <row r="586" spans="2:2" x14ac:dyDescent="0.2">
      <c r="B586" s="7"/>
    </row>
    <row r="587" spans="2:2" x14ac:dyDescent="0.2">
      <c r="B587" s="7"/>
    </row>
    <row r="588" spans="2:2" x14ac:dyDescent="0.2">
      <c r="B588" s="7"/>
    </row>
    <row r="589" spans="2:2" x14ac:dyDescent="0.2">
      <c r="B589" s="7"/>
    </row>
    <row r="590" spans="2:2" x14ac:dyDescent="0.2">
      <c r="B590" s="7"/>
    </row>
    <row r="591" spans="2:2" x14ac:dyDescent="0.2">
      <c r="B591" s="7"/>
    </row>
    <row r="592" spans="2:2" x14ac:dyDescent="0.2">
      <c r="B592" s="7"/>
    </row>
    <row r="593" spans="2:2" x14ac:dyDescent="0.2">
      <c r="B593" s="7"/>
    </row>
    <row r="594" spans="2:2" x14ac:dyDescent="0.2">
      <c r="B594" s="7"/>
    </row>
    <row r="595" spans="2:2" x14ac:dyDescent="0.2">
      <c r="B595" s="7"/>
    </row>
    <row r="596" spans="2:2" x14ac:dyDescent="0.2">
      <c r="B596" s="7"/>
    </row>
    <row r="597" spans="2:2" x14ac:dyDescent="0.2">
      <c r="B597" s="7"/>
    </row>
    <row r="598" spans="2:2" x14ac:dyDescent="0.2">
      <c r="B598" s="7"/>
    </row>
    <row r="599" spans="2:2" x14ac:dyDescent="0.2">
      <c r="B599" s="7"/>
    </row>
    <row r="600" spans="2:2" x14ac:dyDescent="0.2">
      <c r="B600" s="7"/>
    </row>
    <row r="601" spans="2:2" x14ac:dyDescent="0.2">
      <c r="B601" s="7"/>
    </row>
    <row r="602" spans="2:2" x14ac:dyDescent="0.2">
      <c r="B602" s="7"/>
    </row>
    <row r="603" spans="2:2" x14ac:dyDescent="0.2">
      <c r="B603" s="7"/>
    </row>
    <row r="604" spans="2:2" x14ac:dyDescent="0.2">
      <c r="B604" s="7"/>
    </row>
    <row r="605" spans="2:2" x14ac:dyDescent="0.2">
      <c r="B605" s="7"/>
    </row>
    <row r="606" spans="2:2" x14ac:dyDescent="0.2">
      <c r="B606" s="7"/>
    </row>
    <row r="607" spans="2:2" x14ac:dyDescent="0.2">
      <c r="B607" s="7"/>
    </row>
    <row r="608" spans="2:2" x14ac:dyDescent="0.2">
      <c r="B608" s="7"/>
    </row>
    <row r="609" spans="2:2" x14ac:dyDescent="0.2">
      <c r="B609" s="7"/>
    </row>
    <row r="610" spans="2:2" x14ac:dyDescent="0.2">
      <c r="B610" s="7"/>
    </row>
    <row r="611" spans="2:2" x14ac:dyDescent="0.2">
      <c r="B611" s="7"/>
    </row>
    <row r="612" spans="2:2" x14ac:dyDescent="0.2">
      <c r="B612" s="7"/>
    </row>
    <row r="613" spans="2:2" x14ac:dyDescent="0.2">
      <c r="B613" s="7"/>
    </row>
    <row r="614" spans="2:2" x14ac:dyDescent="0.2">
      <c r="B614" s="7"/>
    </row>
    <row r="615" spans="2:2" x14ac:dyDescent="0.2">
      <c r="B615" s="7"/>
    </row>
    <row r="616" spans="2:2" x14ac:dyDescent="0.2">
      <c r="B616" s="7"/>
    </row>
    <row r="617" spans="2:2" x14ac:dyDescent="0.2">
      <c r="B617" s="7"/>
    </row>
    <row r="618" spans="2:2" x14ac:dyDescent="0.2">
      <c r="B618" s="7"/>
    </row>
    <row r="619" spans="2:2" x14ac:dyDescent="0.2">
      <c r="B619" s="7"/>
    </row>
    <row r="620" spans="2:2" x14ac:dyDescent="0.2">
      <c r="B620" s="7"/>
    </row>
    <row r="621" spans="2:2" x14ac:dyDescent="0.2">
      <c r="B621" s="7"/>
    </row>
    <row r="622" spans="2:2" x14ac:dyDescent="0.2">
      <c r="B622" s="7"/>
    </row>
    <row r="623" spans="2:2" x14ac:dyDescent="0.2">
      <c r="B623" s="7"/>
    </row>
    <row r="624" spans="2:2" x14ac:dyDescent="0.2">
      <c r="B624" s="7"/>
    </row>
    <row r="625" spans="2:2" x14ac:dyDescent="0.2">
      <c r="B625" s="7"/>
    </row>
    <row r="626" spans="2:2" x14ac:dyDescent="0.2">
      <c r="B626" s="7"/>
    </row>
    <row r="627" spans="2:2" x14ac:dyDescent="0.2">
      <c r="B627" s="7"/>
    </row>
    <row r="628" spans="2:2" x14ac:dyDescent="0.2">
      <c r="B628" s="7"/>
    </row>
    <row r="629" spans="2:2" x14ac:dyDescent="0.2">
      <c r="B629" s="7"/>
    </row>
    <row r="630" spans="2:2" x14ac:dyDescent="0.2">
      <c r="B630" s="7"/>
    </row>
    <row r="631" spans="2:2" x14ac:dyDescent="0.2">
      <c r="B631" s="7"/>
    </row>
    <row r="632" spans="2:2" x14ac:dyDescent="0.2">
      <c r="B632" s="7"/>
    </row>
    <row r="633" spans="2:2" x14ac:dyDescent="0.2">
      <c r="B633" s="7"/>
    </row>
    <row r="634" spans="2:2" x14ac:dyDescent="0.2">
      <c r="B634" s="7"/>
    </row>
    <row r="635" spans="2:2" x14ac:dyDescent="0.2">
      <c r="B635" s="7"/>
    </row>
    <row r="636" spans="2:2" x14ac:dyDescent="0.2">
      <c r="B636" s="7"/>
    </row>
    <row r="637" spans="2:2" x14ac:dyDescent="0.2">
      <c r="B637" s="7"/>
    </row>
    <row r="638" spans="2:2" x14ac:dyDescent="0.2">
      <c r="B638" s="7"/>
    </row>
    <row r="639" spans="2:2" x14ac:dyDescent="0.2">
      <c r="B639" s="7"/>
    </row>
    <row r="640" spans="2:2" x14ac:dyDescent="0.2">
      <c r="B640" s="7"/>
    </row>
    <row r="641" spans="2:2" x14ac:dyDescent="0.2">
      <c r="B641" s="7"/>
    </row>
    <row r="642" spans="2:2" x14ac:dyDescent="0.2">
      <c r="B642" s="7"/>
    </row>
    <row r="643" spans="2:2" x14ac:dyDescent="0.2">
      <c r="B643" s="7"/>
    </row>
    <row r="644" spans="2:2" x14ac:dyDescent="0.2">
      <c r="B644" s="7"/>
    </row>
    <row r="645" spans="2:2" x14ac:dyDescent="0.2">
      <c r="B645" s="7"/>
    </row>
    <row r="646" spans="2:2" x14ac:dyDescent="0.2">
      <c r="B646" s="7"/>
    </row>
    <row r="647" spans="2:2" x14ac:dyDescent="0.2">
      <c r="B647" s="7"/>
    </row>
    <row r="648" spans="2:2" x14ac:dyDescent="0.2">
      <c r="B648" s="7"/>
    </row>
    <row r="649" spans="2:2" x14ac:dyDescent="0.2">
      <c r="B649" s="7"/>
    </row>
    <row r="650" spans="2:2" x14ac:dyDescent="0.2">
      <c r="B650" s="7"/>
    </row>
    <row r="651" spans="2:2" x14ac:dyDescent="0.2">
      <c r="B651" s="7"/>
    </row>
    <row r="652" spans="2:2" x14ac:dyDescent="0.2">
      <c r="B652" s="7"/>
    </row>
    <row r="653" spans="2:2" x14ac:dyDescent="0.2">
      <c r="B653" s="7"/>
    </row>
    <row r="654" spans="2:2" x14ac:dyDescent="0.2">
      <c r="B654" s="7"/>
    </row>
    <row r="655" spans="2:2" x14ac:dyDescent="0.2">
      <c r="B655" s="7"/>
    </row>
    <row r="656" spans="2:2" x14ac:dyDescent="0.2">
      <c r="B656" s="7"/>
    </row>
    <row r="657" spans="2:2" x14ac:dyDescent="0.2">
      <c r="B657" s="7"/>
    </row>
    <row r="658" spans="2:2" x14ac:dyDescent="0.2">
      <c r="B658" s="7"/>
    </row>
    <row r="659" spans="2:2" x14ac:dyDescent="0.2">
      <c r="B659" s="7"/>
    </row>
    <row r="660" spans="2:2" x14ac:dyDescent="0.2">
      <c r="B660" s="7"/>
    </row>
    <row r="661" spans="2:2" x14ac:dyDescent="0.2">
      <c r="B661" s="7"/>
    </row>
    <row r="662" spans="2:2" x14ac:dyDescent="0.2">
      <c r="B662" s="7"/>
    </row>
    <row r="663" spans="2:2" x14ac:dyDescent="0.2">
      <c r="B663" s="7"/>
    </row>
    <row r="664" spans="2:2" x14ac:dyDescent="0.2">
      <c r="B664" s="7"/>
    </row>
    <row r="665" spans="2:2" x14ac:dyDescent="0.2">
      <c r="B665" s="7"/>
    </row>
    <row r="666" spans="2:2" x14ac:dyDescent="0.2">
      <c r="B666" s="7"/>
    </row>
    <row r="667" spans="2:2" x14ac:dyDescent="0.2">
      <c r="B667" s="7"/>
    </row>
    <row r="668" spans="2:2" x14ac:dyDescent="0.2">
      <c r="B668" s="7"/>
    </row>
    <row r="669" spans="2:2" x14ac:dyDescent="0.2">
      <c r="B669" s="7"/>
    </row>
    <row r="670" spans="2:2" x14ac:dyDescent="0.2">
      <c r="B670" s="7"/>
    </row>
    <row r="671" spans="2:2" x14ac:dyDescent="0.2">
      <c r="B671" s="7"/>
    </row>
    <row r="672" spans="2:2" x14ac:dyDescent="0.2">
      <c r="B672" s="7"/>
    </row>
    <row r="673" spans="2:2" x14ac:dyDescent="0.2">
      <c r="B673" s="7"/>
    </row>
    <row r="674" spans="2:2" x14ac:dyDescent="0.2">
      <c r="B674" s="7"/>
    </row>
    <row r="675" spans="2:2" x14ac:dyDescent="0.2">
      <c r="B675" s="7"/>
    </row>
    <row r="676" spans="2:2" x14ac:dyDescent="0.2">
      <c r="B676" s="7"/>
    </row>
    <row r="677" spans="2:2" x14ac:dyDescent="0.2">
      <c r="B677" s="7"/>
    </row>
    <row r="678" spans="2:2" x14ac:dyDescent="0.2">
      <c r="B678" s="7"/>
    </row>
    <row r="679" spans="2:2" x14ac:dyDescent="0.2">
      <c r="B679" s="7"/>
    </row>
    <row r="680" spans="2:2" x14ac:dyDescent="0.2">
      <c r="B680" s="7"/>
    </row>
    <row r="681" spans="2:2" x14ac:dyDescent="0.2">
      <c r="B681" s="7"/>
    </row>
    <row r="682" spans="2:2" x14ac:dyDescent="0.2">
      <c r="B682" s="7"/>
    </row>
    <row r="683" spans="2:2" x14ac:dyDescent="0.2">
      <c r="B683" s="7"/>
    </row>
    <row r="684" spans="2:2" x14ac:dyDescent="0.2">
      <c r="B684" s="7"/>
    </row>
    <row r="685" spans="2:2" x14ac:dyDescent="0.2">
      <c r="B685" s="7"/>
    </row>
    <row r="686" spans="2:2" x14ac:dyDescent="0.2">
      <c r="B686" s="7"/>
    </row>
    <row r="687" spans="2:2" x14ac:dyDescent="0.2">
      <c r="B687" s="7"/>
    </row>
    <row r="688" spans="2:2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  <row r="770" spans="2:2" x14ac:dyDescent="0.2">
      <c r="B770" s="7"/>
    </row>
    <row r="771" spans="2:2" x14ac:dyDescent="0.2">
      <c r="B771" s="7"/>
    </row>
    <row r="772" spans="2:2" x14ac:dyDescent="0.2">
      <c r="B772" s="7"/>
    </row>
    <row r="773" spans="2:2" x14ac:dyDescent="0.2">
      <c r="B773" s="7"/>
    </row>
    <row r="774" spans="2:2" x14ac:dyDescent="0.2">
      <c r="B774" s="7"/>
    </row>
    <row r="775" spans="2:2" x14ac:dyDescent="0.2">
      <c r="B775" s="7"/>
    </row>
    <row r="776" spans="2:2" x14ac:dyDescent="0.2">
      <c r="B776" s="7"/>
    </row>
    <row r="777" spans="2:2" x14ac:dyDescent="0.2">
      <c r="B777" s="7"/>
    </row>
    <row r="778" spans="2:2" x14ac:dyDescent="0.2">
      <c r="B778" s="7"/>
    </row>
    <row r="779" spans="2:2" x14ac:dyDescent="0.2">
      <c r="B779" s="7"/>
    </row>
    <row r="780" spans="2:2" x14ac:dyDescent="0.2">
      <c r="B780" s="7"/>
    </row>
    <row r="781" spans="2:2" x14ac:dyDescent="0.2">
      <c r="B781" s="7"/>
    </row>
    <row r="782" spans="2:2" x14ac:dyDescent="0.2">
      <c r="B782" s="7"/>
    </row>
    <row r="783" spans="2:2" x14ac:dyDescent="0.2">
      <c r="B783" s="7"/>
    </row>
    <row r="784" spans="2:2" x14ac:dyDescent="0.2">
      <c r="B784" s="7"/>
    </row>
    <row r="785" spans="2:2" x14ac:dyDescent="0.2">
      <c r="B785" s="7"/>
    </row>
    <row r="786" spans="2:2" x14ac:dyDescent="0.2">
      <c r="B786" s="7"/>
    </row>
    <row r="787" spans="2:2" x14ac:dyDescent="0.2">
      <c r="B787" s="7"/>
    </row>
    <row r="788" spans="2:2" x14ac:dyDescent="0.2">
      <c r="B788" s="7"/>
    </row>
    <row r="789" spans="2:2" x14ac:dyDescent="0.2">
      <c r="B789" s="7"/>
    </row>
    <row r="790" spans="2:2" x14ac:dyDescent="0.2">
      <c r="B790" s="7"/>
    </row>
    <row r="791" spans="2:2" x14ac:dyDescent="0.2">
      <c r="B791" s="7"/>
    </row>
    <row r="792" spans="2:2" x14ac:dyDescent="0.2">
      <c r="B792" s="7"/>
    </row>
    <row r="793" spans="2:2" x14ac:dyDescent="0.2">
      <c r="B793" s="7"/>
    </row>
    <row r="794" spans="2:2" x14ac:dyDescent="0.2">
      <c r="B794" s="7"/>
    </row>
    <row r="795" spans="2:2" x14ac:dyDescent="0.2">
      <c r="B795" s="7"/>
    </row>
    <row r="796" spans="2:2" x14ac:dyDescent="0.2">
      <c r="B796" s="7"/>
    </row>
    <row r="797" spans="2:2" x14ac:dyDescent="0.2">
      <c r="B797" s="7"/>
    </row>
    <row r="798" spans="2:2" x14ac:dyDescent="0.2">
      <c r="B798" s="7"/>
    </row>
    <row r="799" spans="2:2" x14ac:dyDescent="0.2">
      <c r="B799" s="7"/>
    </row>
    <row r="800" spans="2:2" x14ac:dyDescent="0.2">
      <c r="B800" s="7"/>
    </row>
    <row r="801" spans="2:2" x14ac:dyDescent="0.2">
      <c r="B801" s="7"/>
    </row>
    <row r="802" spans="2:2" x14ac:dyDescent="0.2">
      <c r="B802" s="7"/>
    </row>
    <row r="803" spans="2:2" x14ac:dyDescent="0.2">
      <c r="B803" s="7"/>
    </row>
    <row r="804" spans="2:2" x14ac:dyDescent="0.2">
      <c r="B804" s="7"/>
    </row>
    <row r="805" spans="2:2" x14ac:dyDescent="0.2">
      <c r="B805" s="7"/>
    </row>
    <row r="806" spans="2:2" x14ac:dyDescent="0.2">
      <c r="B806" s="7"/>
    </row>
    <row r="807" spans="2:2" x14ac:dyDescent="0.2">
      <c r="B807" s="7"/>
    </row>
    <row r="808" spans="2:2" x14ac:dyDescent="0.2">
      <c r="B808" s="7"/>
    </row>
    <row r="809" spans="2:2" x14ac:dyDescent="0.2">
      <c r="B809" s="7"/>
    </row>
    <row r="810" spans="2:2" x14ac:dyDescent="0.2">
      <c r="B810" s="7"/>
    </row>
    <row r="811" spans="2:2" x14ac:dyDescent="0.2">
      <c r="B811" s="7"/>
    </row>
    <row r="812" spans="2:2" x14ac:dyDescent="0.2">
      <c r="B812" s="7"/>
    </row>
    <row r="813" spans="2:2" x14ac:dyDescent="0.2">
      <c r="B813" s="7"/>
    </row>
    <row r="814" spans="2:2" x14ac:dyDescent="0.2">
      <c r="B814" s="7"/>
    </row>
    <row r="815" spans="2:2" x14ac:dyDescent="0.2">
      <c r="B815" s="7"/>
    </row>
    <row r="816" spans="2:2" x14ac:dyDescent="0.2">
      <c r="B816" s="7"/>
    </row>
    <row r="817" spans="2:2" x14ac:dyDescent="0.2">
      <c r="B817" s="7"/>
    </row>
    <row r="818" spans="2:2" x14ac:dyDescent="0.2">
      <c r="B818" s="7"/>
    </row>
    <row r="819" spans="2:2" x14ac:dyDescent="0.2">
      <c r="B819" s="7"/>
    </row>
    <row r="820" spans="2:2" x14ac:dyDescent="0.2">
      <c r="B820" s="7"/>
    </row>
    <row r="821" spans="2:2" x14ac:dyDescent="0.2">
      <c r="B821" s="7"/>
    </row>
    <row r="822" spans="2:2" x14ac:dyDescent="0.2">
      <c r="B822" s="7"/>
    </row>
    <row r="823" spans="2:2" x14ac:dyDescent="0.2">
      <c r="B823" s="7"/>
    </row>
    <row r="824" spans="2:2" x14ac:dyDescent="0.2">
      <c r="B824" s="7"/>
    </row>
    <row r="825" spans="2:2" x14ac:dyDescent="0.2">
      <c r="B825" s="7"/>
    </row>
    <row r="826" spans="2:2" x14ac:dyDescent="0.2">
      <c r="B826" s="7"/>
    </row>
    <row r="827" spans="2:2" x14ac:dyDescent="0.2">
      <c r="B827" s="7"/>
    </row>
    <row r="828" spans="2:2" x14ac:dyDescent="0.2">
      <c r="B828" s="7"/>
    </row>
    <row r="829" spans="2:2" x14ac:dyDescent="0.2">
      <c r="B829" s="7"/>
    </row>
    <row r="830" spans="2:2" x14ac:dyDescent="0.2">
      <c r="B830" s="7"/>
    </row>
    <row r="831" spans="2:2" x14ac:dyDescent="0.2">
      <c r="B831" s="7"/>
    </row>
    <row r="832" spans="2:2" x14ac:dyDescent="0.2">
      <c r="B832" s="7"/>
    </row>
    <row r="833" spans="2:2" x14ac:dyDescent="0.2">
      <c r="B833" s="7"/>
    </row>
    <row r="834" spans="2:2" x14ac:dyDescent="0.2">
      <c r="B834" s="7"/>
    </row>
    <row r="835" spans="2:2" x14ac:dyDescent="0.2">
      <c r="B835" s="7"/>
    </row>
    <row r="836" spans="2:2" x14ac:dyDescent="0.2">
      <c r="B836" s="7"/>
    </row>
    <row r="837" spans="2:2" x14ac:dyDescent="0.2">
      <c r="B837" s="7"/>
    </row>
    <row r="838" spans="2:2" x14ac:dyDescent="0.2">
      <c r="B838" s="7"/>
    </row>
    <row r="839" spans="2:2" x14ac:dyDescent="0.2">
      <c r="B839" s="7"/>
    </row>
    <row r="840" spans="2:2" x14ac:dyDescent="0.2">
      <c r="B840" s="7"/>
    </row>
    <row r="841" spans="2:2" x14ac:dyDescent="0.2">
      <c r="B841" s="7"/>
    </row>
    <row r="842" spans="2:2" x14ac:dyDescent="0.2">
      <c r="B842" s="7"/>
    </row>
    <row r="843" spans="2:2" x14ac:dyDescent="0.2">
      <c r="B843" s="7"/>
    </row>
    <row r="844" spans="2:2" x14ac:dyDescent="0.2">
      <c r="B844" s="7"/>
    </row>
    <row r="845" spans="2:2" x14ac:dyDescent="0.2">
      <c r="B845" s="7"/>
    </row>
    <row r="846" spans="2:2" x14ac:dyDescent="0.2">
      <c r="B846" s="7"/>
    </row>
    <row r="847" spans="2:2" x14ac:dyDescent="0.2">
      <c r="B847" s="7"/>
    </row>
    <row r="848" spans="2:2" x14ac:dyDescent="0.2">
      <c r="B848" s="7"/>
    </row>
    <row r="849" spans="2:2" x14ac:dyDescent="0.2">
      <c r="B849" s="7"/>
    </row>
    <row r="850" spans="2:2" x14ac:dyDescent="0.2">
      <c r="B850" s="7"/>
    </row>
    <row r="851" spans="2:2" x14ac:dyDescent="0.2">
      <c r="B851" s="7"/>
    </row>
    <row r="852" spans="2:2" x14ac:dyDescent="0.2">
      <c r="B852" s="7"/>
    </row>
    <row r="853" spans="2:2" x14ac:dyDescent="0.2">
      <c r="B853" s="7"/>
    </row>
    <row r="854" spans="2:2" x14ac:dyDescent="0.2">
      <c r="B854" s="7"/>
    </row>
    <row r="855" spans="2:2" x14ac:dyDescent="0.2">
      <c r="B855" s="7"/>
    </row>
    <row r="856" spans="2:2" x14ac:dyDescent="0.2">
      <c r="B856" s="7"/>
    </row>
    <row r="857" spans="2:2" x14ac:dyDescent="0.2">
      <c r="B857" s="7"/>
    </row>
    <row r="858" spans="2:2" x14ac:dyDescent="0.2">
      <c r="B858" s="7"/>
    </row>
    <row r="859" spans="2:2" x14ac:dyDescent="0.2">
      <c r="B859" s="7"/>
    </row>
    <row r="860" spans="2:2" x14ac:dyDescent="0.2">
      <c r="B860" s="7"/>
    </row>
    <row r="861" spans="2:2" x14ac:dyDescent="0.2">
      <c r="B861" s="7"/>
    </row>
    <row r="862" spans="2:2" x14ac:dyDescent="0.2">
      <c r="B862" s="7"/>
    </row>
    <row r="863" spans="2:2" x14ac:dyDescent="0.2">
      <c r="B863" s="7"/>
    </row>
    <row r="864" spans="2:2" x14ac:dyDescent="0.2">
      <c r="B864" s="7"/>
    </row>
    <row r="865" spans="2:2" x14ac:dyDescent="0.2">
      <c r="B865" s="7"/>
    </row>
    <row r="866" spans="2:2" x14ac:dyDescent="0.2">
      <c r="B866" s="7"/>
    </row>
    <row r="867" spans="2:2" x14ac:dyDescent="0.2">
      <c r="B867" s="7"/>
    </row>
    <row r="868" spans="2:2" x14ac:dyDescent="0.2">
      <c r="B868" s="7"/>
    </row>
    <row r="869" spans="2:2" x14ac:dyDescent="0.2">
      <c r="B869" s="7"/>
    </row>
    <row r="870" spans="2:2" x14ac:dyDescent="0.2">
      <c r="B870" s="7"/>
    </row>
    <row r="871" spans="2:2" x14ac:dyDescent="0.2">
      <c r="B871" s="7"/>
    </row>
    <row r="872" spans="2:2" x14ac:dyDescent="0.2">
      <c r="B872" s="7"/>
    </row>
    <row r="873" spans="2:2" x14ac:dyDescent="0.2">
      <c r="B873" s="7"/>
    </row>
    <row r="874" spans="2:2" x14ac:dyDescent="0.2">
      <c r="B874" s="7"/>
    </row>
    <row r="875" spans="2:2" x14ac:dyDescent="0.2">
      <c r="B875" s="7"/>
    </row>
    <row r="876" spans="2:2" x14ac:dyDescent="0.2">
      <c r="B876" s="7"/>
    </row>
    <row r="877" spans="2:2" x14ac:dyDescent="0.2">
      <c r="B877" s="7"/>
    </row>
    <row r="878" spans="2:2" x14ac:dyDescent="0.2">
      <c r="B878" s="7"/>
    </row>
    <row r="879" spans="2:2" x14ac:dyDescent="0.2">
      <c r="B879" s="7"/>
    </row>
    <row r="880" spans="2:2" x14ac:dyDescent="0.2">
      <c r="B880" s="7"/>
    </row>
    <row r="881" spans="2:2" x14ac:dyDescent="0.2">
      <c r="B881" s="7"/>
    </row>
    <row r="882" spans="2:2" x14ac:dyDescent="0.2">
      <c r="B882" s="7"/>
    </row>
    <row r="883" spans="2:2" x14ac:dyDescent="0.2">
      <c r="B883" s="7"/>
    </row>
    <row r="884" spans="2:2" x14ac:dyDescent="0.2">
      <c r="B884" s="7"/>
    </row>
    <row r="885" spans="2:2" x14ac:dyDescent="0.2">
      <c r="B885" s="7"/>
    </row>
    <row r="886" spans="2:2" x14ac:dyDescent="0.2">
      <c r="B886" s="7"/>
    </row>
    <row r="887" spans="2:2" x14ac:dyDescent="0.2">
      <c r="B887" s="7"/>
    </row>
    <row r="888" spans="2:2" x14ac:dyDescent="0.2">
      <c r="B888" s="7"/>
    </row>
    <row r="889" spans="2:2" x14ac:dyDescent="0.2">
      <c r="B889" s="7"/>
    </row>
    <row r="890" spans="2:2" x14ac:dyDescent="0.2">
      <c r="B890" s="7"/>
    </row>
    <row r="891" spans="2:2" x14ac:dyDescent="0.2">
      <c r="B891" s="7"/>
    </row>
    <row r="892" spans="2:2" x14ac:dyDescent="0.2">
      <c r="B892" s="7"/>
    </row>
    <row r="893" spans="2:2" x14ac:dyDescent="0.2">
      <c r="B893" s="7"/>
    </row>
    <row r="894" spans="2:2" x14ac:dyDescent="0.2">
      <c r="B894" s="7"/>
    </row>
    <row r="895" spans="2:2" x14ac:dyDescent="0.2">
      <c r="B895" s="7"/>
    </row>
    <row r="896" spans="2:2" x14ac:dyDescent="0.2">
      <c r="B896" s="7"/>
    </row>
    <row r="897" spans="2:2" x14ac:dyDescent="0.2">
      <c r="B897" s="7"/>
    </row>
    <row r="898" spans="2:2" x14ac:dyDescent="0.2">
      <c r="B898" s="7"/>
    </row>
    <row r="899" spans="2:2" x14ac:dyDescent="0.2">
      <c r="B899" s="7"/>
    </row>
    <row r="900" spans="2:2" x14ac:dyDescent="0.2">
      <c r="B900" s="7"/>
    </row>
    <row r="901" spans="2:2" x14ac:dyDescent="0.2">
      <c r="B901" s="7"/>
    </row>
    <row r="902" spans="2:2" x14ac:dyDescent="0.2">
      <c r="B902" s="7"/>
    </row>
    <row r="903" spans="2:2" x14ac:dyDescent="0.2">
      <c r="B903" s="7"/>
    </row>
    <row r="904" spans="2:2" x14ac:dyDescent="0.2">
      <c r="B904" s="7"/>
    </row>
    <row r="905" spans="2:2" x14ac:dyDescent="0.2">
      <c r="B905" s="7"/>
    </row>
    <row r="906" spans="2:2" x14ac:dyDescent="0.2">
      <c r="B906" s="7"/>
    </row>
    <row r="907" spans="2:2" x14ac:dyDescent="0.2">
      <c r="B907" s="7"/>
    </row>
    <row r="908" spans="2:2" x14ac:dyDescent="0.2">
      <c r="B908" s="7"/>
    </row>
    <row r="909" spans="2:2" x14ac:dyDescent="0.2">
      <c r="B909" s="7"/>
    </row>
    <row r="910" spans="2:2" x14ac:dyDescent="0.2">
      <c r="B910" s="7"/>
    </row>
    <row r="911" spans="2:2" x14ac:dyDescent="0.2">
      <c r="B911" s="7"/>
    </row>
    <row r="912" spans="2:2" x14ac:dyDescent="0.2">
      <c r="B912" s="7"/>
    </row>
    <row r="913" spans="2:2" x14ac:dyDescent="0.2">
      <c r="B913" s="7"/>
    </row>
    <row r="914" spans="2:2" x14ac:dyDescent="0.2">
      <c r="B914" s="7"/>
    </row>
    <row r="915" spans="2:2" x14ac:dyDescent="0.2">
      <c r="B915" s="7"/>
    </row>
    <row r="916" spans="2:2" x14ac:dyDescent="0.2">
      <c r="B916" s="7"/>
    </row>
    <row r="917" spans="2:2" x14ac:dyDescent="0.2">
      <c r="B917" s="7"/>
    </row>
    <row r="918" spans="2:2" x14ac:dyDescent="0.2">
      <c r="B918" s="7"/>
    </row>
    <row r="919" spans="2:2" x14ac:dyDescent="0.2">
      <c r="B919" s="7"/>
    </row>
    <row r="920" spans="2:2" x14ac:dyDescent="0.2">
      <c r="B920" s="7"/>
    </row>
    <row r="921" spans="2:2" x14ac:dyDescent="0.2">
      <c r="B921" s="7"/>
    </row>
    <row r="922" spans="2:2" x14ac:dyDescent="0.2">
      <c r="B922" s="7"/>
    </row>
    <row r="923" spans="2:2" x14ac:dyDescent="0.2">
      <c r="B923" s="7"/>
    </row>
    <row r="924" spans="2:2" x14ac:dyDescent="0.2">
      <c r="B924" s="7"/>
    </row>
    <row r="925" spans="2:2" x14ac:dyDescent="0.2">
      <c r="B925" s="7"/>
    </row>
    <row r="926" spans="2:2" x14ac:dyDescent="0.2">
      <c r="B926" s="7"/>
    </row>
    <row r="927" spans="2:2" x14ac:dyDescent="0.2">
      <c r="B927" s="7"/>
    </row>
    <row r="928" spans="2:2" x14ac:dyDescent="0.2">
      <c r="B928" s="7"/>
    </row>
    <row r="929" spans="2:2" x14ac:dyDescent="0.2">
      <c r="B929" s="7"/>
    </row>
    <row r="930" spans="2:2" x14ac:dyDescent="0.2">
      <c r="B930" s="7"/>
    </row>
    <row r="931" spans="2:2" x14ac:dyDescent="0.2">
      <c r="B931" s="7"/>
    </row>
    <row r="932" spans="2:2" x14ac:dyDescent="0.2">
      <c r="B932" s="7"/>
    </row>
    <row r="933" spans="2:2" x14ac:dyDescent="0.2">
      <c r="B933" s="7"/>
    </row>
    <row r="934" spans="2:2" x14ac:dyDescent="0.2">
      <c r="B934" s="7"/>
    </row>
    <row r="935" spans="2:2" x14ac:dyDescent="0.2">
      <c r="B935" s="7"/>
    </row>
    <row r="936" spans="2:2" x14ac:dyDescent="0.2">
      <c r="B936" s="7"/>
    </row>
    <row r="937" spans="2:2" x14ac:dyDescent="0.2">
      <c r="B937" s="7"/>
    </row>
    <row r="938" spans="2:2" x14ac:dyDescent="0.2">
      <c r="B938" s="7"/>
    </row>
    <row r="939" spans="2:2" x14ac:dyDescent="0.2">
      <c r="B939" s="7"/>
    </row>
    <row r="940" spans="2:2" x14ac:dyDescent="0.2">
      <c r="B940" s="7"/>
    </row>
    <row r="941" spans="2:2" x14ac:dyDescent="0.2">
      <c r="B941" s="7"/>
    </row>
    <row r="942" spans="2:2" x14ac:dyDescent="0.2">
      <c r="B942" s="7"/>
    </row>
    <row r="943" spans="2:2" x14ac:dyDescent="0.2">
      <c r="B943" s="7"/>
    </row>
    <row r="944" spans="2:2" x14ac:dyDescent="0.2">
      <c r="B944" s="7"/>
    </row>
    <row r="945" spans="2:2" x14ac:dyDescent="0.2">
      <c r="B945" s="7"/>
    </row>
    <row r="946" spans="2:2" x14ac:dyDescent="0.2">
      <c r="B946" s="7"/>
    </row>
    <row r="947" spans="2:2" x14ac:dyDescent="0.2">
      <c r="B947" s="7"/>
    </row>
    <row r="948" spans="2:2" x14ac:dyDescent="0.2">
      <c r="B948" s="7"/>
    </row>
    <row r="949" spans="2:2" x14ac:dyDescent="0.2">
      <c r="B949" s="7"/>
    </row>
    <row r="950" spans="2:2" x14ac:dyDescent="0.2">
      <c r="B950" s="7"/>
    </row>
    <row r="951" spans="2:2" x14ac:dyDescent="0.2">
      <c r="B951" s="7"/>
    </row>
    <row r="952" spans="2:2" x14ac:dyDescent="0.2">
      <c r="B952" s="7"/>
    </row>
    <row r="953" spans="2:2" x14ac:dyDescent="0.2">
      <c r="B953" s="7"/>
    </row>
    <row r="954" spans="2:2" x14ac:dyDescent="0.2">
      <c r="B954" s="7"/>
    </row>
    <row r="955" spans="2:2" x14ac:dyDescent="0.2">
      <c r="B955" s="7"/>
    </row>
    <row r="956" spans="2:2" x14ac:dyDescent="0.2">
      <c r="B956" s="7"/>
    </row>
    <row r="957" spans="2:2" x14ac:dyDescent="0.2">
      <c r="B957" s="7"/>
    </row>
    <row r="958" spans="2:2" x14ac:dyDescent="0.2">
      <c r="B958" s="7"/>
    </row>
    <row r="959" spans="2:2" x14ac:dyDescent="0.2">
      <c r="B959" s="7"/>
    </row>
    <row r="960" spans="2:2" x14ac:dyDescent="0.2">
      <c r="B960" s="7"/>
    </row>
    <row r="961" spans="2:2" x14ac:dyDescent="0.2">
      <c r="B961" s="7"/>
    </row>
    <row r="962" spans="2:2" x14ac:dyDescent="0.2">
      <c r="B962" s="7"/>
    </row>
    <row r="963" spans="2:2" x14ac:dyDescent="0.2">
      <c r="B963" s="7"/>
    </row>
    <row r="964" spans="2:2" x14ac:dyDescent="0.2">
      <c r="B964" s="7"/>
    </row>
    <row r="965" spans="2:2" x14ac:dyDescent="0.2">
      <c r="B965" s="7"/>
    </row>
    <row r="966" spans="2:2" x14ac:dyDescent="0.2">
      <c r="B966" s="7"/>
    </row>
    <row r="967" spans="2:2" x14ac:dyDescent="0.2">
      <c r="B967" s="7"/>
    </row>
    <row r="968" spans="2:2" x14ac:dyDescent="0.2">
      <c r="B968" s="7"/>
    </row>
    <row r="969" spans="2:2" x14ac:dyDescent="0.2">
      <c r="B969" s="7"/>
    </row>
    <row r="970" spans="2:2" x14ac:dyDescent="0.2">
      <c r="B970" s="7"/>
    </row>
    <row r="971" spans="2:2" x14ac:dyDescent="0.2">
      <c r="B971" s="7"/>
    </row>
    <row r="972" spans="2:2" x14ac:dyDescent="0.2">
      <c r="B972" s="7"/>
    </row>
    <row r="973" spans="2:2" x14ac:dyDescent="0.2">
      <c r="B973" s="7"/>
    </row>
    <row r="974" spans="2:2" x14ac:dyDescent="0.2">
      <c r="B974" s="7"/>
    </row>
    <row r="975" spans="2:2" x14ac:dyDescent="0.2">
      <c r="B975" s="7"/>
    </row>
    <row r="976" spans="2:2" x14ac:dyDescent="0.2">
      <c r="B976" s="7"/>
    </row>
    <row r="977" spans="2:2" x14ac:dyDescent="0.2">
      <c r="B977" s="7"/>
    </row>
    <row r="978" spans="2:2" x14ac:dyDescent="0.2">
      <c r="B978" s="7"/>
    </row>
    <row r="979" spans="2:2" x14ac:dyDescent="0.2">
      <c r="B979" s="7"/>
    </row>
    <row r="980" spans="2:2" x14ac:dyDescent="0.2">
      <c r="B980" s="7"/>
    </row>
    <row r="981" spans="2:2" x14ac:dyDescent="0.2">
      <c r="B981" s="7"/>
    </row>
    <row r="982" spans="2:2" x14ac:dyDescent="0.2">
      <c r="B982" s="7"/>
    </row>
    <row r="983" spans="2:2" x14ac:dyDescent="0.2">
      <c r="B983" s="7"/>
    </row>
    <row r="984" spans="2:2" x14ac:dyDescent="0.2">
      <c r="B984" s="7"/>
    </row>
    <row r="985" spans="2:2" x14ac:dyDescent="0.2">
      <c r="B985" s="7"/>
    </row>
    <row r="986" spans="2:2" x14ac:dyDescent="0.2">
      <c r="B986" s="7"/>
    </row>
    <row r="987" spans="2:2" x14ac:dyDescent="0.2">
      <c r="B987" s="7"/>
    </row>
    <row r="988" spans="2:2" x14ac:dyDescent="0.2">
      <c r="B988" s="7"/>
    </row>
    <row r="989" spans="2:2" x14ac:dyDescent="0.2">
      <c r="B989" s="7"/>
    </row>
    <row r="990" spans="2:2" x14ac:dyDescent="0.2">
      <c r="B990" s="7"/>
    </row>
    <row r="991" spans="2:2" x14ac:dyDescent="0.2">
      <c r="B991" s="7"/>
    </row>
    <row r="992" spans="2:2" x14ac:dyDescent="0.2">
      <c r="B992" s="7"/>
    </row>
    <row r="993" spans="2:2" x14ac:dyDescent="0.2">
      <c r="B993" s="7"/>
    </row>
    <row r="994" spans="2:2" x14ac:dyDescent="0.2">
      <c r="B994" s="7"/>
    </row>
    <row r="995" spans="2:2" x14ac:dyDescent="0.2">
      <c r="B995" s="7"/>
    </row>
    <row r="996" spans="2:2" x14ac:dyDescent="0.2">
      <c r="B996" s="7"/>
    </row>
    <row r="997" spans="2:2" x14ac:dyDescent="0.2">
      <c r="B997" s="7"/>
    </row>
    <row r="998" spans="2:2" x14ac:dyDescent="0.2">
      <c r="B998" s="7"/>
    </row>
    <row r="999" spans="2:2" x14ac:dyDescent="0.2">
      <c r="B999" s="7"/>
    </row>
    <row r="1000" spans="2:2" x14ac:dyDescent="0.2">
      <c r="B1000" s="7"/>
    </row>
    <row r="1001" spans="2:2" x14ac:dyDescent="0.2">
      <c r="B1001" s="7"/>
    </row>
    <row r="1002" spans="2:2" x14ac:dyDescent="0.2">
      <c r="B1002" s="7"/>
    </row>
    <row r="1003" spans="2:2" x14ac:dyDescent="0.2">
      <c r="B1003" s="7"/>
    </row>
    <row r="1004" spans="2:2" x14ac:dyDescent="0.2">
      <c r="B1004" s="7"/>
    </row>
    <row r="1005" spans="2:2" x14ac:dyDescent="0.2">
      <c r="B1005" s="7"/>
    </row>
    <row r="1006" spans="2:2" x14ac:dyDescent="0.2">
      <c r="B1006" s="7"/>
    </row>
    <row r="1007" spans="2:2" x14ac:dyDescent="0.2">
      <c r="B1007" s="7"/>
    </row>
    <row r="1008" spans="2:2" x14ac:dyDescent="0.2">
      <c r="B1008" s="7"/>
    </row>
    <row r="1009" spans="2:2" x14ac:dyDescent="0.2">
      <c r="B1009" s="7"/>
    </row>
    <row r="1010" spans="2:2" x14ac:dyDescent="0.2">
      <c r="B1010" s="7"/>
    </row>
    <row r="1011" spans="2:2" x14ac:dyDescent="0.2">
      <c r="B1011" s="7"/>
    </row>
    <row r="1012" spans="2:2" x14ac:dyDescent="0.2">
      <c r="B1012" s="7"/>
    </row>
    <row r="1013" spans="2:2" x14ac:dyDescent="0.2">
      <c r="B1013" s="7"/>
    </row>
    <row r="1014" spans="2:2" x14ac:dyDescent="0.2">
      <c r="B1014" s="7"/>
    </row>
    <row r="1015" spans="2:2" x14ac:dyDescent="0.2">
      <c r="B1015" s="7"/>
    </row>
    <row r="1016" spans="2:2" x14ac:dyDescent="0.2">
      <c r="B1016" s="7"/>
    </row>
    <row r="1017" spans="2:2" x14ac:dyDescent="0.2">
      <c r="B1017" s="7"/>
    </row>
    <row r="1018" spans="2:2" x14ac:dyDescent="0.2">
      <c r="B1018" s="7"/>
    </row>
    <row r="1019" spans="2:2" x14ac:dyDescent="0.2">
      <c r="B1019" s="7"/>
    </row>
    <row r="1020" spans="2:2" x14ac:dyDescent="0.2">
      <c r="B1020" s="7"/>
    </row>
    <row r="1021" spans="2:2" x14ac:dyDescent="0.2">
      <c r="B1021" s="7"/>
    </row>
    <row r="1022" spans="2:2" x14ac:dyDescent="0.2">
      <c r="B1022" s="7"/>
    </row>
    <row r="1023" spans="2:2" x14ac:dyDescent="0.2">
      <c r="B1023" s="7"/>
    </row>
    <row r="1024" spans="2:2" x14ac:dyDescent="0.2">
      <c r="B1024" s="7"/>
    </row>
    <row r="1025" spans="2:2" x14ac:dyDescent="0.2">
      <c r="B1025" s="7"/>
    </row>
    <row r="1026" spans="2:2" x14ac:dyDescent="0.2">
      <c r="B1026" s="7"/>
    </row>
    <row r="1027" spans="2:2" x14ac:dyDescent="0.2">
      <c r="B1027" s="7"/>
    </row>
    <row r="1028" spans="2:2" x14ac:dyDescent="0.2">
      <c r="B1028" s="7"/>
    </row>
    <row r="1029" spans="2:2" x14ac:dyDescent="0.2">
      <c r="B1029" s="7"/>
    </row>
    <row r="1030" spans="2:2" x14ac:dyDescent="0.2">
      <c r="B1030" s="7"/>
    </row>
    <row r="1031" spans="2:2" x14ac:dyDescent="0.2">
      <c r="B1031" s="7"/>
    </row>
    <row r="1032" spans="2:2" x14ac:dyDescent="0.2">
      <c r="B1032" s="7"/>
    </row>
    <row r="1033" spans="2:2" x14ac:dyDescent="0.2">
      <c r="B1033" s="7"/>
    </row>
    <row r="1034" spans="2:2" x14ac:dyDescent="0.2">
      <c r="B1034" s="7"/>
    </row>
    <row r="1035" spans="2:2" x14ac:dyDescent="0.2">
      <c r="B1035" s="7"/>
    </row>
    <row r="1036" spans="2:2" x14ac:dyDescent="0.2">
      <c r="B1036" s="7"/>
    </row>
    <row r="1037" spans="2:2" x14ac:dyDescent="0.2">
      <c r="B1037" s="7"/>
    </row>
    <row r="1038" spans="2:2" x14ac:dyDescent="0.2">
      <c r="B1038" s="7"/>
    </row>
    <row r="1039" spans="2:2" x14ac:dyDescent="0.2">
      <c r="B1039" s="7"/>
    </row>
    <row r="1040" spans="2:2" x14ac:dyDescent="0.2">
      <c r="B1040" s="7"/>
    </row>
    <row r="1041" spans="2:2" x14ac:dyDescent="0.2">
      <c r="B1041" s="7"/>
    </row>
    <row r="1042" spans="2:2" x14ac:dyDescent="0.2">
      <c r="B1042" s="7"/>
    </row>
    <row r="1043" spans="2:2" x14ac:dyDescent="0.2">
      <c r="B1043" s="7"/>
    </row>
    <row r="1044" spans="2:2" x14ac:dyDescent="0.2">
      <c r="B1044" s="7"/>
    </row>
    <row r="1045" spans="2:2" x14ac:dyDescent="0.2">
      <c r="B1045" s="7"/>
    </row>
    <row r="1046" spans="2:2" x14ac:dyDescent="0.2">
      <c r="B1046" s="7"/>
    </row>
    <row r="1047" spans="2:2" x14ac:dyDescent="0.2">
      <c r="B1047" s="7"/>
    </row>
    <row r="1048" spans="2:2" x14ac:dyDescent="0.2">
      <c r="B1048" s="7"/>
    </row>
    <row r="1049" spans="2:2" x14ac:dyDescent="0.2">
      <c r="B1049" s="7"/>
    </row>
    <row r="1050" spans="2:2" x14ac:dyDescent="0.2">
      <c r="B1050" s="7"/>
    </row>
    <row r="1051" spans="2:2" x14ac:dyDescent="0.2">
      <c r="B1051" s="7"/>
    </row>
    <row r="1052" spans="2:2" x14ac:dyDescent="0.2">
      <c r="B1052" s="7"/>
    </row>
    <row r="1053" spans="2:2" x14ac:dyDescent="0.2">
      <c r="B1053" s="7"/>
    </row>
    <row r="1054" spans="2:2" x14ac:dyDescent="0.2">
      <c r="B1054" s="7"/>
    </row>
    <row r="1055" spans="2:2" x14ac:dyDescent="0.2">
      <c r="B1055" s="7"/>
    </row>
    <row r="1056" spans="2:2" x14ac:dyDescent="0.2">
      <c r="B1056" s="7"/>
    </row>
    <row r="1057" spans="2:2" x14ac:dyDescent="0.2">
      <c r="B1057" s="7"/>
    </row>
    <row r="1058" spans="2:2" x14ac:dyDescent="0.2">
      <c r="B1058" s="7"/>
    </row>
    <row r="1059" spans="2:2" x14ac:dyDescent="0.2">
      <c r="B1059" s="7"/>
    </row>
    <row r="1060" spans="2:2" x14ac:dyDescent="0.2">
      <c r="B1060" s="7"/>
    </row>
    <row r="1061" spans="2:2" x14ac:dyDescent="0.2">
      <c r="B1061" s="7"/>
    </row>
    <row r="1062" spans="2:2" x14ac:dyDescent="0.2">
      <c r="B1062" s="7"/>
    </row>
    <row r="1063" spans="2:2" x14ac:dyDescent="0.2">
      <c r="B1063" s="7"/>
    </row>
    <row r="1064" spans="2:2" x14ac:dyDescent="0.2">
      <c r="B1064" s="7"/>
    </row>
    <row r="1065" spans="2:2" x14ac:dyDescent="0.2">
      <c r="B1065" s="7"/>
    </row>
    <row r="1066" spans="2:2" x14ac:dyDescent="0.2">
      <c r="B1066" s="7"/>
    </row>
    <row r="1067" spans="2:2" x14ac:dyDescent="0.2">
      <c r="B1067" s="7"/>
    </row>
    <row r="1068" spans="2:2" x14ac:dyDescent="0.2">
      <c r="B1068" s="7"/>
    </row>
    <row r="1069" spans="2:2" x14ac:dyDescent="0.2">
      <c r="B1069" s="7"/>
    </row>
    <row r="1070" spans="2:2" x14ac:dyDescent="0.2">
      <c r="B1070" s="7"/>
    </row>
    <row r="1071" spans="2:2" x14ac:dyDescent="0.2">
      <c r="B1071" s="7"/>
    </row>
    <row r="1072" spans="2:2" x14ac:dyDescent="0.2">
      <c r="B1072" s="7"/>
    </row>
    <row r="1073" spans="2:2" x14ac:dyDescent="0.2">
      <c r="B1073" s="7"/>
    </row>
    <row r="1074" spans="2:2" x14ac:dyDescent="0.2">
      <c r="B1074" s="7"/>
    </row>
    <row r="1075" spans="2:2" x14ac:dyDescent="0.2">
      <c r="B1075" s="7"/>
    </row>
    <row r="1076" spans="2:2" x14ac:dyDescent="0.2">
      <c r="B1076" s="7"/>
    </row>
    <row r="1077" spans="2:2" x14ac:dyDescent="0.2">
      <c r="B1077" s="7"/>
    </row>
    <row r="1078" spans="2:2" x14ac:dyDescent="0.2">
      <c r="B1078" s="7"/>
    </row>
    <row r="1079" spans="2:2" x14ac:dyDescent="0.2">
      <c r="B1079" s="7"/>
    </row>
    <row r="1080" spans="2:2" x14ac:dyDescent="0.2">
      <c r="B1080" s="7"/>
    </row>
    <row r="1081" spans="2:2" x14ac:dyDescent="0.2">
      <c r="B1081" s="7"/>
    </row>
    <row r="1082" spans="2:2" x14ac:dyDescent="0.2">
      <c r="B1082" s="7"/>
    </row>
    <row r="1083" spans="2:2" x14ac:dyDescent="0.2">
      <c r="B1083" s="7"/>
    </row>
    <row r="1084" spans="2:2" x14ac:dyDescent="0.2">
      <c r="B1084" s="7"/>
    </row>
    <row r="1085" spans="2:2" x14ac:dyDescent="0.2">
      <c r="B1085" s="7"/>
    </row>
    <row r="1086" spans="2:2" x14ac:dyDescent="0.2">
      <c r="B1086" s="7"/>
    </row>
    <row r="1087" spans="2:2" x14ac:dyDescent="0.2">
      <c r="B1087" s="7"/>
    </row>
    <row r="1088" spans="2:2" x14ac:dyDescent="0.2">
      <c r="B1088" s="7"/>
    </row>
    <row r="1089" spans="2:2" x14ac:dyDescent="0.2">
      <c r="B1089" s="7"/>
    </row>
    <row r="1090" spans="2:2" x14ac:dyDescent="0.2">
      <c r="B1090" s="7"/>
    </row>
    <row r="1091" spans="2:2" x14ac:dyDescent="0.2">
      <c r="B1091" s="7"/>
    </row>
    <row r="1092" spans="2:2" x14ac:dyDescent="0.2">
      <c r="B1092" s="7"/>
    </row>
    <row r="1093" spans="2:2" x14ac:dyDescent="0.2">
      <c r="B1093" s="7"/>
    </row>
    <row r="1094" spans="2:2" x14ac:dyDescent="0.2">
      <c r="B1094" s="7"/>
    </row>
    <row r="1095" spans="2:2" x14ac:dyDescent="0.2">
      <c r="B1095" s="7"/>
    </row>
    <row r="1096" spans="2:2" x14ac:dyDescent="0.2">
      <c r="B1096" s="7"/>
    </row>
    <row r="1097" spans="2:2" x14ac:dyDescent="0.2">
      <c r="B1097" s="7"/>
    </row>
    <row r="1098" spans="2:2" x14ac:dyDescent="0.2">
      <c r="B1098" s="7"/>
    </row>
    <row r="1099" spans="2:2" x14ac:dyDescent="0.2">
      <c r="B1099" s="7"/>
    </row>
    <row r="1100" spans="2:2" x14ac:dyDescent="0.2">
      <c r="B1100" s="7"/>
    </row>
    <row r="1101" spans="2:2" x14ac:dyDescent="0.2">
      <c r="B1101" s="7"/>
    </row>
    <row r="1102" spans="2:2" x14ac:dyDescent="0.2">
      <c r="B1102" s="7"/>
    </row>
    <row r="1103" spans="2:2" x14ac:dyDescent="0.2">
      <c r="B1103" s="7"/>
    </row>
    <row r="1104" spans="2:2" x14ac:dyDescent="0.2">
      <c r="B1104" s="7"/>
    </row>
    <row r="1105" spans="2:2" x14ac:dyDescent="0.2">
      <c r="B1105" s="7"/>
    </row>
    <row r="1106" spans="2:2" x14ac:dyDescent="0.2">
      <c r="B1106" s="7"/>
    </row>
    <row r="1107" spans="2:2" x14ac:dyDescent="0.2">
      <c r="B1107" s="7"/>
    </row>
    <row r="1108" spans="2:2" x14ac:dyDescent="0.2">
      <c r="B1108" s="7"/>
    </row>
    <row r="1109" spans="2:2" x14ac:dyDescent="0.2">
      <c r="B1109" s="7"/>
    </row>
    <row r="1110" spans="2:2" x14ac:dyDescent="0.2">
      <c r="B1110" s="7"/>
    </row>
    <row r="1111" spans="2:2" x14ac:dyDescent="0.2">
      <c r="B1111" s="7"/>
    </row>
    <row r="1112" spans="2:2" x14ac:dyDescent="0.2">
      <c r="B1112" s="7"/>
    </row>
    <row r="1113" spans="2:2" x14ac:dyDescent="0.2">
      <c r="B1113" s="7"/>
    </row>
    <row r="1114" spans="2:2" x14ac:dyDescent="0.2">
      <c r="B1114" s="7"/>
    </row>
    <row r="1115" spans="2:2" x14ac:dyDescent="0.2">
      <c r="B1115" s="7"/>
    </row>
    <row r="1116" spans="2:2" x14ac:dyDescent="0.2">
      <c r="B1116" s="7"/>
    </row>
    <row r="1117" spans="2:2" x14ac:dyDescent="0.2">
      <c r="B1117" s="7"/>
    </row>
    <row r="1118" spans="2:2" x14ac:dyDescent="0.2">
      <c r="B1118" s="7"/>
    </row>
    <row r="1119" spans="2:2" x14ac:dyDescent="0.2">
      <c r="B1119" s="7"/>
    </row>
    <row r="1120" spans="2:2" x14ac:dyDescent="0.2">
      <c r="B1120" s="7"/>
    </row>
    <row r="1121" spans="2:2" x14ac:dyDescent="0.2">
      <c r="B1121" s="7"/>
    </row>
    <row r="1122" spans="2:2" x14ac:dyDescent="0.2">
      <c r="B1122" s="7"/>
    </row>
    <row r="1123" spans="2:2" x14ac:dyDescent="0.2">
      <c r="B1123" s="7"/>
    </row>
    <row r="1124" spans="2:2" x14ac:dyDescent="0.2">
      <c r="B1124" s="7"/>
    </row>
    <row r="1125" spans="2:2" x14ac:dyDescent="0.2">
      <c r="B1125" s="7"/>
    </row>
    <row r="1126" spans="2:2" x14ac:dyDescent="0.2">
      <c r="B1126" s="7"/>
    </row>
    <row r="1127" spans="2:2" x14ac:dyDescent="0.2">
      <c r="B1127" s="7"/>
    </row>
    <row r="1128" spans="2:2" x14ac:dyDescent="0.2">
      <c r="B1128" s="7"/>
    </row>
    <row r="1129" spans="2:2" x14ac:dyDescent="0.2">
      <c r="B1129" s="7"/>
    </row>
    <row r="1130" spans="2:2" x14ac:dyDescent="0.2">
      <c r="B1130" s="7"/>
    </row>
    <row r="1131" spans="2:2" x14ac:dyDescent="0.2">
      <c r="B1131" s="7"/>
    </row>
    <row r="1132" spans="2:2" x14ac:dyDescent="0.2">
      <c r="B1132" s="7"/>
    </row>
    <row r="1133" spans="2:2" x14ac:dyDescent="0.2">
      <c r="B1133" s="7"/>
    </row>
    <row r="1134" spans="2:2" x14ac:dyDescent="0.2">
      <c r="B1134" s="7"/>
    </row>
    <row r="1135" spans="2:2" x14ac:dyDescent="0.2">
      <c r="B1135" s="7"/>
    </row>
    <row r="1136" spans="2:2" x14ac:dyDescent="0.2">
      <c r="B1136" s="7"/>
    </row>
    <row r="1137" spans="2:2" x14ac:dyDescent="0.2">
      <c r="B1137" s="7"/>
    </row>
    <row r="1138" spans="2:2" x14ac:dyDescent="0.2">
      <c r="B1138" s="7"/>
    </row>
    <row r="1139" spans="2:2" x14ac:dyDescent="0.2">
      <c r="B1139" s="7"/>
    </row>
    <row r="1140" spans="2:2" x14ac:dyDescent="0.2">
      <c r="B1140" s="7"/>
    </row>
    <row r="1141" spans="2:2" x14ac:dyDescent="0.2">
      <c r="B1141" s="7"/>
    </row>
    <row r="1142" spans="2:2" x14ac:dyDescent="0.2">
      <c r="B1142" s="7"/>
    </row>
    <row r="1143" spans="2:2" x14ac:dyDescent="0.2">
      <c r="B1143" s="7"/>
    </row>
    <row r="1144" spans="2:2" x14ac:dyDescent="0.2">
      <c r="B1144" s="7"/>
    </row>
    <row r="1145" spans="2:2" x14ac:dyDescent="0.2">
      <c r="B1145" s="7"/>
    </row>
    <row r="1146" spans="2:2" x14ac:dyDescent="0.2">
      <c r="B1146" s="7"/>
    </row>
    <row r="1147" spans="2:2" x14ac:dyDescent="0.2">
      <c r="B1147" s="7"/>
    </row>
    <row r="1148" spans="2:2" x14ac:dyDescent="0.2">
      <c r="B1148" s="7"/>
    </row>
    <row r="1149" spans="2:2" x14ac:dyDescent="0.2">
      <c r="B1149" s="7"/>
    </row>
    <row r="1150" spans="2:2" x14ac:dyDescent="0.2">
      <c r="B1150" s="7"/>
    </row>
    <row r="1151" spans="2:2" x14ac:dyDescent="0.2">
      <c r="B1151" s="7"/>
    </row>
    <row r="1152" spans="2:2" x14ac:dyDescent="0.2">
      <c r="B1152" s="7"/>
    </row>
    <row r="1153" spans="2:2" x14ac:dyDescent="0.2">
      <c r="B1153" s="7"/>
    </row>
    <row r="1154" spans="2:2" x14ac:dyDescent="0.2">
      <c r="B1154" s="7"/>
    </row>
    <row r="1155" spans="2:2" x14ac:dyDescent="0.2">
      <c r="B1155" s="7"/>
    </row>
    <row r="1156" spans="2:2" x14ac:dyDescent="0.2">
      <c r="B1156" s="7"/>
    </row>
    <row r="1157" spans="2:2" x14ac:dyDescent="0.2">
      <c r="B1157" s="7"/>
    </row>
    <row r="1158" spans="2:2" x14ac:dyDescent="0.2">
      <c r="B1158" s="7"/>
    </row>
    <row r="1159" spans="2:2" x14ac:dyDescent="0.2">
      <c r="B1159" s="7"/>
    </row>
    <row r="1160" spans="2:2" x14ac:dyDescent="0.2">
      <c r="B1160" s="7"/>
    </row>
    <row r="1161" spans="2:2" x14ac:dyDescent="0.2">
      <c r="B1161" s="7"/>
    </row>
    <row r="1162" spans="2:2" x14ac:dyDescent="0.2">
      <c r="B1162" s="7"/>
    </row>
    <row r="1163" spans="2:2" x14ac:dyDescent="0.2">
      <c r="B1163" s="7"/>
    </row>
    <row r="1164" spans="2:2" x14ac:dyDescent="0.2">
      <c r="B1164" s="7"/>
    </row>
    <row r="1165" spans="2:2" x14ac:dyDescent="0.2">
      <c r="B1165" s="7"/>
    </row>
    <row r="1166" spans="2:2" x14ac:dyDescent="0.2">
      <c r="B1166" s="7"/>
    </row>
    <row r="1167" spans="2:2" x14ac:dyDescent="0.2">
      <c r="B1167" s="7"/>
    </row>
    <row r="1168" spans="2:2" x14ac:dyDescent="0.2">
      <c r="B1168" s="7"/>
    </row>
    <row r="1169" spans="2:2" x14ac:dyDescent="0.2">
      <c r="B1169" s="7"/>
    </row>
    <row r="1170" spans="2:2" x14ac:dyDescent="0.2">
      <c r="B1170" s="7"/>
    </row>
    <row r="1171" spans="2:2" x14ac:dyDescent="0.2">
      <c r="B1171" s="7"/>
    </row>
    <row r="1172" spans="2:2" x14ac:dyDescent="0.2">
      <c r="B1172" s="7"/>
    </row>
    <row r="1173" spans="2:2" x14ac:dyDescent="0.2">
      <c r="B1173" s="7"/>
    </row>
    <row r="1174" spans="2:2" x14ac:dyDescent="0.2">
      <c r="B1174" s="7"/>
    </row>
    <row r="1175" spans="2:2" x14ac:dyDescent="0.2">
      <c r="B1175" s="7"/>
    </row>
    <row r="1176" spans="2:2" x14ac:dyDescent="0.2">
      <c r="B1176" s="7"/>
    </row>
    <row r="1177" spans="2:2" x14ac:dyDescent="0.2">
      <c r="B1177" s="7"/>
    </row>
    <row r="1178" spans="2:2" x14ac:dyDescent="0.2">
      <c r="B1178" s="7"/>
    </row>
    <row r="1179" spans="2:2" x14ac:dyDescent="0.2">
      <c r="B1179" s="7"/>
    </row>
    <row r="1180" spans="2:2" x14ac:dyDescent="0.2">
      <c r="B1180" s="7"/>
    </row>
    <row r="1181" spans="2:2" x14ac:dyDescent="0.2">
      <c r="B1181" s="7"/>
    </row>
    <row r="1182" spans="2:2" x14ac:dyDescent="0.2">
      <c r="B1182" s="7"/>
    </row>
    <row r="1183" spans="2:2" x14ac:dyDescent="0.2">
      <c r="B1183" s="7"/>
    </row>
    <row r="1184" spans="2:2" x14ac:dyDescent="0.2">
      <c r="B1184" s="7"/>
    </row>
    <row r="1185" spans="2:2" x14ac:dyDescent="0.2">
      <c r="B1185" s="7"/>
    </row>
    <row r="1186" spans="2:2" x14ac:dyDescent="0.2">
      <c r="B1186" s="7"/>
    </row>
    <row r="1187" spans="2:2" x14ac:dyDescent="0.2">
      <c r="B1187" s="7"/>
    </row>
    <row r="1188" spans="2:2" x14ac:dyDescent="0.2">
      <c r="B1188" s="7"/>
    </row>
    <row r="1189" spans="2:2" x14ac:dyDescent="0.2">
      <c r="B1189" s="7"/>
    </row>
    <row r="1190" spans="2:2" x14ac:dyDescent="0.2">
      <c r="B1190" s="7"/>
    </row>
    <row r="1191" spans="2:2" x14ac:dyDescent="0.2">
      <c r="B1191" s="7"/>
    </row>
    <row r="1192" spans="2:2" x14ac:dyDescent="0.2">
      <c r="B1192" s="7"/>
    </row>
    <row r="1193" spans="2:2" x14ac:dyDescent="0.2">
      <c r="B1193" s="7"/>
    </row>
    <row r="1194" spans="2:2" x14ac:dyDescent="0.2">
      <c r="B1194" s="7"/>
    </row>
    <row r="1195" spans="2:2" x14ac:dyDescent="0.2">
      <c r="B1195" s="7"/>
    </row>
    <row r="1196" spans="2:2" x14ac:dyDescent="0.2">
      <c r="B1196" s="7"/>
    </row>
    <row r="1197" spans="2:2" x14ac:dyDescent="0.2">
      <c r="B1197" s="7"/>
    </row>
    <row r="1198" spans="2:2" x14ac:dyDescent="0.2">
      <c r="B1198" s="7"/>
    </row>
    <row r="1199" spans="2:2" x14ac:dyDescent="0.2">
      <c r="B1199" s="7"/>
    </row>
    <row r="1200" spans="2:2" x14ac:dyDescent="0.2">
      <c r="B1200" s="7"/>
    </row>
    <row r="1201" spans="2:2" x14ac:dyDescent="0.2">
      <c r="B1201" s="7"/>
    </row>
    <row r="1202" spans="2:2" x14ac:dyDescent="0.2">
      <c r="B1202" s="7"/>
    </row>
    <row r="1203" spans="2:2" x14ac:dyDescent="0.2">
      <c r="B1203" s="7"/>
    </row>
    <row r="1204" spans="2:2" x14ac:dyDescent="0.2">
      <c r="B1204" s="7"/>
    </row>
    <row r="1205" spans="2:2" x14ac:dyDescent="0.2">
      <c r="B1205" s="7"/>
    </row>
    <row r="1206" spans="2:2" x14ac:dyDescent="0.2">
      <c r="B1206" s="7"/>
    </row>
    <row r="1207" spans="2:2" x14ac:dyDescent="0.2">
      <c r="B1207" s="7"/>
    </row>
    <row r="1208" spans="2:2" x14ac:dyDescent="0.2">
      <c r="B1208" s="7"/>
    </row>
    <row r="1209" spans="2:2" x14ac:dyDescent="0.2">
      <c r="B1209" s="7"/>
    </row>
    <row r="1210" spans="2:2" x14ac:dyDescent="0.2">
      <c r="B1210" s="7"/>
    </row>
    <row r="1211" spans="2:2" x14ac:dyDescent="0.2">
      <c r="B1211" s="7"/>
    </row>
    <row r="1212" spans="2:2" x14ac:dyDescent="0.2">
      <c r="B1212" s="7"/>
    </row>
    <row r="1213" spans="2:2" x14ac:dyDescent="0.2">
      <c r="B1213" s="7"/>
    </row>
    <row r="1214" spans="2:2" x14ac:dyDescent="0.2">
      <c r="B1214" s="7"/>
    </row>
    <row r="1215" spans="2:2" x14ac:dyDescent="0.2">
      <c r="B1215" s="7"/>
    </row>
    <row r="1216" spans="2:2" x14ac:dyDescent="0.2">
      <c r="B1216" s="7"/>
    </row>
    <row r="1217" spans="2:2" x14ac:dyDescent="0.2">
      <c r="B1217" s="7"/>
    </row>
    <row r="1218" spans="2:2" x14ac:dyDescent="0.2">
      <c r="B1218" s="7"/>
    </row>
    <row r="1219" spans="2:2" x14ac:dyDescent="0.2">
      <c r="B1219" s="7"/>
    </row>
    <row r="1220" spans="2:2" x14ac:dyDescent="0.2">
      <c r="B1220" s="7"/>
    </row>
    <row r="1221" spans="2:2" x14ac:dyDescent="0.2">
      <c r="B1221" s="7"/>
    </row>
    <row r="1222" spans="2:2" x14ac:dyDescent="0.2">
      <c r="B1222" s="7"/>
    </row>
    <row r="1223" spans="2:2" x14ac:dyDescent="0.2">
      <c r="B1223" s="7"/>
    </row>
    <row r="1224" spans="2:2" x14ac:dyDescent="0.2">
      <c r="B1224" s="7"/>
    </row>
    <row r="1225" spans="2:2" x14ac:dyDescent="0.2">
      <c r="B1225" s="7"/>
    </row>
    <row r="1226" spans="2:2" x14ac:dyDescent="0.2">
      <c r="B1226" s="7"/>
    </row>
    <row r="1227" spans="2:2" x14ac:dyDescent="0.2">
      <c r="B1227" s="7"/>
    </row>
    <row r="1228" spans="2:2" x14ac:dyDescent="0.2">
      <c r="B1228" s="7"/>
    </row>
    <row r="1229" spans="2:2" x14ac:dyDescent="0.2">
      <c r="B1229" s="7"/>
    </row>
    <row r="1230" spans="2:2" x14ac:dyDescent="0.2">
      <c r="B1230" s="7"/>
    </row>
    <row r="1231" spans="2:2" x14ac:dyDescent="0.2">
      <c r="B1231" s="7"/>
    </row>
    <row r="1232" spans="2:2" x14ac:dyDescent="0.2">
      <c r="B1232" s="7"/>
    </row>
    <row r="1233" spans="2:2" x14ac:dyDescent="0.2">
      <c r="B1233" s="7"/>
    </row>
    <row r="1234" spans="2:2" x14ac:dyDescent="0.2">
      <c r="B1234" s="7"/>
    </row>
    <row r="1235" spans="2:2" x14ac:dyDescent="0.2">
      <c r="B1235" s="7"/>
    </row>
    <row r="1236" spans="2:2" x14ac:dyDescent="0.2">
      <c r="B1236" s="7"/>
    </row>
    <row r="1237" spans="2:2" x14ac:dyDescent="0.2">
      <c r="B1237" s="7"/>
    </row>
    <row r="1238" spans="2:2" x14ac:dyDescent="0.2">
      <c r="B1238" s="7"/>
    </row>
    <row r="1239" spans="2:2" x14ac:dyDescent="0.2">
      <c r="B1239" s="7"/>
    </row>
    <row r="1240" spans="2:2" x14ac:dyDescent="0.2">
      <c r="B1240" s="7"/>
    </row>
    <row r="1241" spans="2:2" x14ac:dyDescent="0.2">
      <c r="B1241" s="7"/>
    </row>
    <row r="1242" spans="2:2" x14ac:dyDescent="0.2">
      <c r="B1242" s="7"/>
    </row>
    <row r="1243" spans="2:2" x14ac:dyDescent="0.2">
      <c r="B1243" s="7"/>
    </row>
    <row r="1244" spans="2:2" x14ac:dyDescent="0.2">
      <c r="B1244" s="7"/>
    </row>
    <row r="1245" spans="2:2" x14ac:dyDescent="0.2">
      <c r="B1245" s="7"/>
    </row>
    <row r="1246" spans="2:2" x14ac:dyDescent="0.2">
      <c r="B1246" s="7"/>
    </row>
    <row r="1247" spans="2:2" x14ac:dyDescent="0.2">
      <c r="B1247" s="7"/>
    </row>
    <row r="1248" spans="2:2" x14ac:dyDescent="0.2">
      <c r="B1248" s="7"/>
    </row>
    <row r="1249" spans="2:2" x14ac:dyDescent="0.2">
      <c r="B1249" s="7"/>
    </row>
    <row r="1250" spans="2:2" x14ac:dyDescent="0.2">
      <c r="B1250" s="7"/>
    </row>
    <row r="1251" spans="2:2" x14ac:dyDescent="0.2">
      <c r="B1251" s="7"/>
    </row>
    <row r="1252" spans="2:2" x14ac:dyDescent="0.2">
      <c r="B1252" s="7"/>
    </row>
    <row r="1253" spans="2:2" x14ac:dyDescent="0.2">
      <c r="B1253" s="7"/>
    </row>
    <row r="1254" spans="2:2" x14ac:dyDescent="0.2">
      <c r="B1254" s="7"/>
    </row>
    <row r="1255" spans="2:2" x14ac:dyDescent="0.2">
      <c r="B1255" s="7"/>
    </row>
    <row r="1256" spans="2:2" x14ac:dyDescent="0.2">
      <c r="B1256" s="7"/>
    </row>
    <row r="1257" spans="2:2" x14ac:dyDescent="0.2">
      <c r="B1257" s="7"/>
    </row>
    <row r="1258" spans="2:2" x14ac:dyDescent="0.2">
      <c r="B1258" s="7"/>
    </row>
    <row r="1259" spans="2:2" x14ac:dyDescent="0.2">
      <c r="B1259" s="7"/>
    </row>
    <row r="1260" spans="2:2" x14ac:dyDescent="0.2">
      <c r="B1260" s="7"/>
    </row>
    <row r="1261" spans="2:2" x14ac:dyDescent="0.2">
      <c r="B1261" s="7"/>
    </row>
    <row r="1262" spans="2:2" x14ac:dyDescent="0.2">
      <c r="B1262" s="7"/>
    </row>
    <row r="1263" spans="2:2" x14ac:dyDescent="0.2">
      <c r="B1263" s="7"/>
    </row>
    <row r="1264" spans="2:2" x14ac:dyDescent="0.2">
      <c r="B1264" s="7"/>
    </row>
    <row r="1265" spans="2:2" x14ac:dyDescent="0.2">
      <c r="B1265" s="7"/>
    </row>
    <row r="1266" spans="2:2" x14ac:dyDescent="0.2">
      <c r="B1266" s="7"/>
    </row>
    <row r="1267" spans="2:2" x14ac:dyDescent="0.2">
      <c r="B1267" s="7"/>
    </row>
    <row r="1268" spans="2:2" x14ac:dyDescent="0.2">
      <c r="B1268" s="7"/>
    </row>
    <row r="1269" spans="2:2" x14ac:dyDescent="0.2">
      <c r="B1269" s="7"/>
    </row>
    <row r="1270" spans="2:2" x14ac:dyDescent="0.2">
      <c r="B1270" s="7"/>
    </row>
    <row r="1271" spans="2:2" x14ac:dyDescent="0.2">
      <c r="B1271" s="7"/>
    </row>
    <row r="1272" spans="2:2" x14ac:dyDescent="0.2">
      <c r="B1272" s="7"/>
    </row>
    <row r="1273" spans="2:2" x14ac:dyDescent="0.2">
      <c r="B1273" s="7"/>
    </row>
    <row r="1274" spans="2:2" x14ac:dyDescent="0.2">
      <c r="B1274" s="7"/>
    </row>
    <row r="1275" spans="2:2" x14ac:dyDescent="0.2">
      <c r="B1275" s="7"/>
    </row>
    <row r="1276" spans="2:2" x14ac:dyDescent="0.2">
      <c r="B1276" s="7"/>
    </row>
    <row r="1277" spans="2:2" x14ac:dyDescent="0.2">
      <c r="B1277" s="7"/>
    </row>
    <row r="1278" spans="2:2" x14ac:dyDescent="0.2">
      <c r="B1278" s="7"/>
    </row>
    <row r="1279" spans="2:2" x14ac:dyDescent="0.2">
      <c r="B1279" s="7"/>
    </row>
    <row r="1280" spans="2:2" x14ac:dyDescent="0.2">
      <c r="B1280" s="7"/>
    </row>
    <row r="1281" spans="2:2" x14ac:dyDescent="0.2">
      <c r="B1281" s="7"/>
    </row>
    <row r="1282" spans="2:2" x14ac:dyDescent="0.2">
      <c r="B1282" s="7"/>
    </row>
    <row r="1283" spans="2:2" x14ac:dyDescent="0.2">
      <c r="B1283" s="7"/>
    </row>
    <row r="1284" spans="2:2" x14ac:dyDescent="0.2">
      <c r="B1284" s="7"/>
    </row>
    <row r="1285" spans="2:2" x14ac:dyDescent="0.2">
      <c r="B1285" s="7"/>
    </row>
    <row r="1286" spans="2:2" x14ac:dyDescent="0.2">
      <c r="B1286" s="7"/>
    </row>
    <row r="1287" spans="2:2" x14ac:dyDescent="0.2">
      <c r="B1287" s="7"/>
    </row>
    <row r="1288" spans="2:2" x14ac:dyDescent="0.2">
      <c r="B1288" s="7"/>
    </row>
    <row r="1289" spans="2:2" x14ac:dyDescent="0.2">
      <c r="B1289" s="7"/>
    </row>
    <row r="1290" spans="2:2" x14ac:dyDescent="0.2">
      <c r="B1290" s="7"/>
    </row>
    <row r="1291" spans="2:2" x14ac:dyDescent="0.2">
      <c r="B1291" s="7"/>
    </row>
    <row r="1292" spans="2:2" x14ac:dyDescent="0.2">
      <c r="B1292" s="7"/>
    </row>
    <row r="1293" spans="2:2" x14ac:dyDescent="0.2">
      <c r="B1293" s="7"/>
    </row>
    <row r="1294" spans="2:2" x14ac:dyDescent="0.2">
      <c r="B1294" s="7"/>
    </row>
    <row r="1295" spans="2:2" x14ac:dyDescent="0.2">
      <c r="B1295" s="7"/>
    </row>
    <row r="1296" spans="2:2" x14ac:dyDescent="0.2">
      <c r="B1296" s="7"/>
    </row>
    <row r="1297" spans="2:2" x14ac:dyDescent="0.2">
      <c r="B1297" s="7"/>
    </row>
    <row r="1298" spans="2:2" x14ac:dyDescent="0.2">
      <c r="B1298" s="7"/>
    </row>
    <row r="1299" spans="2:2" x14ac:dyDescent="0.2">
      <c r="B1299" s="7"/>
    </row>
    <row r="1300" spans="2:2" x14ac:dyDescent="0.2">
      <c r="B1300" s="7"/>
    </row>
    <row r="1301" spans="2:2" x14ac:dyDescent="0.2">
      <c r="B1301" s="7"/>
    </row>
    <row r="1302" spans="2:2" x14ac:dyDescent="0.2">
      <c r="B1302" s="7"/>
    </row>
    <row r="1303" spans="2:2" x14ac:dyDescent="0.2">
      <c r="B1303" s="7"/>
    </row>
    <row r="1304" spans="2:2" x14ac:dyDescent="0.2">
      <c r="B1304" s="7"/>
    </row>
    <row r="1305" spans="2:2" x14ac:dyDescent="0.2">
      <c r="B1305" s="7"/>
    </row>
    <row r="1306" spans="2:2" x14ac:dyDescent="0.2">
      <c r="B1306" s="7"/>
    </row>
    <row r="1307" spans="2:2" x14ac:dyDescent="0.2">
      <c r="B1307" s="7"/>
    </row>
    <row r="1308" spans="2:2" x14ac:dyDescent="0.2">
      <c r="B1308" s="7"/>
    </row>
    <row r="1309" spans="2:2" x14ac:dyDescent="0.2">
      <c r="B1309" s="7"/>
    </row>
    <row r="1310" spans="2:2" x14ac:dyDescent="0.2">
      <c r="B1310" s="7"/>
    </row>
    <row r="1311" spans="2:2" x14ac:dyDescent="0.2">
      <c r="B1311" s="7"/>
    </row>
    <row r="1312" spans="2:2" x14ac:dyDescent="0.2">
      <c r="B1312" s="7"/>
    </row>
    <row r="1313" spans="2:2" x14ac:dyDescent="0.2">
      <c r="B1313" s="7"/>
    </row>
    <row r="1314" spans="2:2" x14ac:dyDescent="0.2">
      <c r="B1314" s="7"/>
    </row>
    <row r="1315" spans="2:2" x14ac:dyDescent="0.2">
      <c r="B1315" s="7"/>
    </row>
    <row r="1316" spans="2:2" x14ac:dyDescent="0.2">
      <c r="B1316" s="7"/>
    </row>
    <row r="1317" spans="2:2" x14ac:dyDescent="0.2">
      <c r="B1317" s="7"/>
    </row>
    <row r="1318" spans="2:2" x14ac:dyDescent="0.2">
      <c r="B1318" s="7"/>
    </row>
    <row r="1319" spans="2:2" x14ac:dyDescent="0.2">
      <c r="B1319" s="7"/>
    </row>
    <row r="1320" spans="2:2" x14ac:dyDescent="0.2">
      <c r="B1320" s="7"/>
    </row>
    <row r="1321" spans="2:2" x14ac:dyDescent="0.2">
      <c r="B1321" s="7"/>
    </row>
    <row r="1322" spans="2:2" x14ac:dyDescent="0.2">
      <c r="B1322" s="7"/>
    </row>
    <row r="1323" spans="2:2" x14ac:dyDescent="0.2">
      <c r="B1323" s="7"/>
    </row>
    <row r="1324" spans="2:2" x14ac:dyDescent="0.2">
      <c r="B1324" s="7"/>
    </row>
    <row r="1325" spans="2:2" x14ac:dyDescent="0.2">
      <c r="B1325" s="7"/>
    </row>
    <row r="1326" spans="2:2" x14ac:dyDescent="0.2">
      <c r="B1326" s="7"/>
    </row>
    <row r="1327" spans="2:2" x14ac:dyDescent="0.2">
      <c r="B1327" s="7"/>
    </row>
    <row r="1328" spans="2:2" x14ac:dyDescent="0.2">
      <c r="B1328" s="7"/>
    </row>
    <row r="1329" spans="2:2" x14ac:dyDescent="0.2">
      <c r="B1329" s="7"/>
    </row>
    <row r="1330" spans="2:2" x14ac:dyDescent="0.2">
      <c r="B1330" s="7"/>
    </row>
    <row r="1331" spans="2:2" x14ac:dyDescent="0.2">
      <c r="B1331" s="7"/>
    </row>
    <row r="1332" spans="2:2" x14ac:dyDescent="0.2">
      <c r="B1332" s="7"/>
    </row>
    <row r="1333" spans="2:2" x14ac:dyDescent="0.2">
      <c r="B1333" s="7"/>
    </row>
    <row r="1334" spans="2:2" x14ac:dyDescent="0.2">
      <c r="B1334" s="7"/>
    </row>
    <row r="1335" spans="2:2" x14ac:dyDescent="0.2">
      <c r="B1335" s="7"/>
    </row>
    <row r="1336" spans="2:2" x14ac:dyDescent="0.2">
      <c r="B1336" s="7"/>
    </row>
    <row r="1337" spans="2:2" x14ac:dyDescent="0.2">
      <c r="B1337" s="7"/>
    </row>
    <row r="1338" spans="2:2" x14ac:dyDescent="0.2">
      <c r="B1338" s="7"/>
    </row>
    <row r="1339" spans="2:2" x14ac:dyDescent="0.2">
      <c r="B1339" s="7"/>
    </row>
    <row r="1340" spans="2:2" x14ac:dyDescent="0.2">
      <c r="B1340" s="7"/>
    </row>
    <row r="1341" spans="2:2" x14ac:dyDescent="0.2">
      <c r="B1341" s="7"/>
    </row>
    <row r="1342" spans="2:2" x14ac:dyDescent="0.2">
      <c r="B1342" s="7"/>
    </row>
    <row r="1343" spans="2:2" x14ac:dyDescent="0.2">
      <c r="B1343" s="7"/>
    </row>
    <row r="1344" spans="2:2" x14ac:dyDescent="0.2">
      <c r="B1344" s="7"/>
    </row>
    <row r="1345" spans="2:2" x14ac:dyDescent="0.2">
      <c r="B1345" s="7"/>
    </row>
    <row r="1346" spans="2:2" x14ac:dyDescent="0.2">
      <c r="B1346" s="7"/>
    </row>
    <row r="1347" spans="2:2" x14ac:dyDescent="0.2">
      <c r="B1347" s="7"/>
    </row>
    <row r="1348" spans="2:2" x14ac:dyDescent="0.2">
      <c r="B1348" s="7"/>
    </row>
    <row r="1349" spans="2:2" x14ac:dyDescent="0.2">
      <c r="B1349" s="7"/>
    </row>
    <row r="1350" spans="2:2" x14ac:dyDescent="0.2">
      <c r="B1350" s="7"/>
    </row>
    <row r="1351" spans="2:2" x14ac:dyDescent="0.2">
      <c r="B1351" s="7"/>
    </row>
    <row r="1352" spans="2:2" x14ac:dyDescent="0.2">
      <c r="B1352" s="7"/>
    </row>
    <row r="1353" spans="2:2" x14ac:dyDescent="0.2">
      <c r="B1353" s="7"/>
    </row>
    <row r="1354" spans="2:2" x14ac:dyDescent="0.2">
      <c r="B1354" s="7"/>
    </row>
    <row r="1355" spans="2:2" x14ac:dyDescent="0.2">
      <c r="B1355" s="7"/>
    </row>
    <row r="1356" spans="2:2" x14ac:dyDescent="0.2">
      <c r="B1356" s="7"/>
    </row>
    <row r="1357" spans="2:2" x14ac:dyDescent="0.2">
      <c r="B1357" s="7"/>
    </row>
    <row r="1358" spans="2:2" x14ac:dyDescent="0.2">
      <c r="B1358" s="7"/>
    </row>
    <row r="1359" spans="2:2" x14ac:dyDescent="0.2">
      <c r="B1359" s="7"/>
    </row>
    <row r="1360" spans="2:2" x14ac:dyDescent="0.2">
      <c r="B1360" s="7"/>
    </row>
    <row r="1361" spans="2:2" x14ac:dyDescent="0.2">
      <c r="B1361" s="7"/>
    </row>
    <row r="1362" spans="2:2" x14ac:dyDescent="0.2">
      <c r="B1362" s="7"/>
    </row>
    <row r="1363" spans="2:2" x14ac:dyDescent="0.2">
      <c r="B1363" s="7"/>
    </row>
    <row r="1364" spans="2:2" x14ac:dyDescent="0.2">
      <c r="B1364" s="7"/>
    </row>
    <row r="1365" spans="2:2" x14ac:dyDescent="0.2">
      <c r="B1365" s="7"/>
    </row>
    <row r="1366" spans="2:2" x14ac:dyDescent="0.2">
      <c r="B1366" s="7"/>
    </row>
    <row r="1367" spans="2:2" x14ac:dyDescent="0.2">
      <c r="B1367" s="7"/>
    </row>
    <row r="1368" spans="2:2" x14ac:dyDescent="0.2">
      <c r="B1368" s="7"/>
    </row>
    <row r="1369" spans="2:2" x14ac:dyDescent="0.2">
      <c r="B1369" s="7"/>
    </row>
    <row r="1370" spans="2:2" x14ac:dyDescent="0.2">
      <c r="B1370" s="7"/>
    </row>
    <row r="1371" spans="2:2" x14ac:dyDescent="0.2">
      <c r="B1371" s="7"/>
    </row>
    <row r="1372" spans="2:2" x14ac:dyDescent="0.2">
      <c r="B1372" s="7"/>
    </row>
    <row r="1373" spans="2:2" x14ac:dyDescent="0.2">
      <c r="B1373" s="7"/>
    </row>
    <row r="1374" spans="2:2" x14ac:dyDescent="0.2">
      <c r="B1374" s="7"/>
    </row>
    <row r="1375" spans="2:2" x14ac:dyDescent="0.2">
      <c r="B1375" s="7"/>
    </row>
    <row r="1376" spans="2:2" x14ac:dyDescent="0.2">
      <c r="B1376" s="7"/>
    </row>
    <row r="1377" spans="2:2" x14ac:dyDescent="0.2">
      <c r="B1377" s="7"/>
    </row>
    <row r="1378" spans="2:2" x14ac:dyDescent="0.2">
      <c r="B1378" s="7"/>
    </row>
    <row r="1379" spans="2:2" x14ac:dyDescent="0.2">
      <c r="B1379" s="7"/>
    </row>
    <row r="1380" spans="2:2" x14ac:dyDescent="0.2">
      <c r="B1380" s="7"/>
    </row>
    <row r="1381" spans="2:2" x14ac:dyDescent="0.2">
      <c r="B1381" s="7"/>
    </row>
    <row r="1382" spans="2:2" x14ac:dyDescent="0.2">
      <c r="B1382" s="7"/>
    </row>
    <row r="1383" spans="2:2" x14ac:dyDescent="0.2">
      <c r="B1383" s="7"/>
    </row>
    <row r="1384" spans="2:2" x14ac:dyDescent="0.2">
      <c r="B1384" s="7"/>
    </row>
    <row r="1385" spans="2:2" x14ac:dyDescent="0.2">
      <c r="B1385" s="7"/>
    </row>
    <row r="1386" spans="2:2" x14ac:dyDescent="0.2">
      <c r="B1386" s="7"/>
    </row>
    <row r="1387" spans="2:2" x14ac:dyDescent="0.2">
      <c r="B1387" s="7"/>
    </row>
    <row r="1388" spans="2:2" x14ac:dyDescent="0.2">
      <c r="B1388" s="7"/>
    </row>
    <row r="1389" spans="2:2" x14ac:dyDescent="0.2">
      <c r="B1389" s="7"/>
    </row>
    <row r="1390" spans="2:2" x14ac:dyDescent="0.2">
      <c r="B1390" s="7"/>
    </row>
    <row r="1391" spans="2:2" x14ac:dyDescent="0.2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topLeftCell="A45" workbookViewId="0">
      <selection activeCell="L22" sqref="L22"/>
    </sheetView>
  </sheetViews>
  <sheetFormatPr defaultRowHeight="12.75" x14ac:dyDescent="0.2"/>
  <cols>
    <col min="1" max="1" width="5.85546875" style="14" bestFit="1" customWidth="1"/>
    <col min="2" max="2" width="12.140625" customWidth="1"/>
    <col min="3" max="3" width="14.5703125" customWidth="1"/>
    <col min="4" max="4" width="17.42578125" customWidth="1"/>
    <col min="5" max="5" width="12.140625" customWidth="1"/>
    <col min="6" max="6" width="17.7109375" customWidth="1"/>
    <col min="7" max="7" width="9.5703125" customWidth="1"/>
    <col min="8" max="8" width="17.42578125" customWidth="1"/>
    <col min="12" max="12" width="10" bestFit="1" customWidth="1"/>
  </cols>
  <sheetData>
    <row r="1" spans="1:8" x14ac:dyDescent="0.2">
      <c r="C1" s="4" t="s">
        <v>98</v>
      </c>
    </row>
    <row r="2" spans="1:8" x14ac:dyDescent="0.2">
      <c r="C2" s="4" t="s">
        <v>99</v>
      </c>
    </row>
    <row r="3" spans="1:8" x14ac:dyDescent="0.2">
      <c r="C3" s="4"/>
    </row>
    <row r="4" spans="1:8" x14ac:dyDescent="0.2">
      <c r="B4" s="12" t="s">
        <v>82</v>
      </c>
      <c r="C4" s="4"/>
      <c r="D4" s="99">
        <f>B61</f>
        <v>45198</v>
      </c>
    </row>
    <row r="5" spans="1:8" x14ac:dyDescent="0.2">
      <c r="C5" s="4"/>
    </row>
    <row r="6" spans="1:8" ht="13.5" thickBot="1" x14ac:dyDescent="0.25"/>
    <row r="7" spans="1:8" x14ac:dyDescent="0.2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5" thickBot="1" x14ac:dyDescent="0.25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5" x14ac:dyDescent="0.25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5" x14ac:dyDescent="0.25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5" x14ac:dyDescent="0.25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5" x14ac:dyDescent="0.25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5" x14ac:dyDescent="0.25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5" x14ac:dyDescent="0.25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5" x14ac:dyDescent="0.25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5" x14ac:dyDescent="0.25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5" x14ac:dyDescent="0.25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5" x14ac:dyDescent="0.25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5" x14ac:dyDescent="0.25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5" x14ac:dyDescent="0.25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5" x14ac:dyDescent="0.25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5" x14ac:dyDescent="0.25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5" x14ac:dyDescent="0.25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5" x14ac:dyDescent="0.25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5" x14ac:dyDescent="0.25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5" x14ac:dyDescent="0.25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5" x14ac:dyDescent="0.25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5" x14ac:dyDescent="0.25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5" x14ac:dyDescent="0.25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5" x14ac:dyDescent="0.25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5" x14ac:dyDescent="0.25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5" x14ac:dyDescent="0.25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5" x14ac:dyDescent="0.25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5" x14ac:dyDescent="0.25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5" x14ac:dyDescent="0.25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5" x14ac:dyDescent="0.25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5" x14ac:dyDescent="0.25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5" x14ac:dyDescent="0.25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5" x14ac:dyDescent="0.25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5" x14ac:dyDescent="0.25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5" x14ac:dyDescent="0.25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5" x14ac:dyDescent="0.25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5" x14ac:dyDescent="0.25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5" x14ac:dyDescent="0.25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0"/>
    </row>
    <row r="46" spans="1:12" ht="15" x14ac:dyDescent="0.25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5" x14ac:dyDescent="0.25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5" x14ac:dyDescent="0.25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5" x14ac:dyDescent="0.25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5" x14ac:dyDescent="0.25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5" x14ac:dyDescent="0.25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5" x14ac:dyDescent="0.25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5" x14ac:dyDescent="0.25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5" x14ac:dyDescent="0.25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5" x14ac:dyDescent="0.25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5" x14ac:dyDescent="0.25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5" x14ac:dyDescent="0.25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5" x14ac:dyDescent="0.25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5" x14ac:dyDescent="0.25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5" x14ac:dyDescent="0.25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.75" thickBot="1" x14ac:dyDescent="0.3">
      <c r="A61" s="109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1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">
      <c r="B62" s="7"/>
      <c r="D62" s="3"/>
    </row>
    <row r="63" spans="1:8" x14ac:dyDescent="0.2">
      <c r="B63" s="7"/>
    </row>
    <row r="64" spans="1:8" x14ac:dyDescent="0.2">
      <c r="B64" s="7"/>
    </row>
    <row r="65" spans="2:3" x14ac:dyDescent="0.2">
      <c r="B65" s="7"/>
    </row>
    <row r="66" spans="2:3" x14ac:dyDescent="0.2">
      <c r="B66" s="7"/>
      <c r="C66" s="5"/>
    </row>
    <row r="67" spans="2:3" x14ac:dyDescent="0.2">
      <c r="B67" s="7"/>
      <c r="C67" s="5"/>
    </row>
    <row r="68" spans="2:3" x14ac:dyDescent="0.2">
      <c r="B68" s="7"/>
    </row>
    <row r="69" spans="2:3" x14ac:dyDescent="0.2">
      <c r="B69" s="7"/>
    </row>
    <row r="70" spans="2:3" x14ac:dyDescent="0.2">
      <c r="B70" s="7"/>
    </row>
    <row r="71" spans="2:3" x14ac:dyDescent="0.2">
      <c r="B71" s="7"/>
    </row>
    <row r="72" spans="2:3" x14ac:dyDescent="0.2">
      <c r="B72" s="7"/>
    </row>
    <row r="73" spans="2:3" x14ac:dyDescent="0.2">
      <c r="B73" s="7"/>
    </row>
    <row r="74" spans="2:3" x14ac:dyDescent="0.2">
      <c r="B74" s="7"/>
    </row>
    <row r="75" spans="2:3" x14ac:dyDescent="0.2">
      <c r="B75" s="7"/>
    </row>
    <row r="76" spans="2:3" x14ac:dyDescent="0.2">
      <c r="B76" s="7"/>
    </row>
    <row r="77" spans="2:3" x14ac:dyDescent="0.2">
      <c r="B77" s="7"/>
    </row>
    <row r="78" spans="2:3" x14ac:dyDescent="0.2">
      <c r="B78" s="7"/>
    </row>
    <row r="79" spans="2:3" x14ac:dyDescent="0.2">
      <c r="B79" s="7"/>
    </row>
    <row r="80" spans="2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2:2" x14ac:dyDescent="0.2">
      <c r="B513" s="7"/>
    </row>
    <row r="514" spans="2:2" x14ac:dyDescent="0.2">
      <c r="B514" s="7"/>
    </row>
    <row r="515" spans="2:2" x14ac:dyDescent="0.2">
      <c r="B515" s="7"/>
    </row>
    <row r="516" spans="2:2" x14ac:dyDescent="0.2">
      <c r="B516" s="7"/>
    </row>
    <row r="517" spans="2:2" x14ac:dyDescent="0.2">
      <c r="B517" s="7"/>
    </row>
    <row r="518" spans="2:2" x14ac:dyDescent="0.2">
      <c r="B518" s="7"/>
    </row>
    <row r="519" spans="2:2" x14ac:dyDescent="0.2">
      <c r="B519" s="7"/>
    </row>
    <row r="520" spans="2:2" x14ac:dyDescent="0.2">
      <c r="B520" s="7"/>
    </row>
    <row r="521" spans="2:2" x14ac:dyDescent="0.2">
      <c r="B521" s="7"/>
    </row>
    <row r="522" spans="2:2" x14ac:dyDescent="0.2">
      <c r="B522" s="7"/>
    </row>
    <row r="523" spans="2:2" x14ac:dyDescent="0.2">
      <c r="B523" s="7"/>
    </row>
    <row r="524" spans="2:2" x14ac:dyDescent="0.2">
      <c r="B524" s="7"/>
    </row>
    <row r="525" spans="2:2" x14ac:dyDescent="0.2">
      <c r="B525" s="7"/>
    </row>
    <row r="526" spans="2:2" x14ac:dyDescent="0.2">
      <c r="B526" s="7"/>
    </row>
    <row r="527" spans="2:2" x14ac:dyDescent="0.2">
      <c r="B527" s="7"/>
    </row>
    <row r="528" spans="2:2" x14ac:dyDescent="0.2">
      <c r="B528" s="7"/>
    </row>
    <row r="529" spans="2:2" x14ac:dyDescent="0.2">
      <c r="B529" s="7"/>
    </row>
    <row r="530" spans="2:2" x14ac:dyDescent="0.2">
      <c r="B530" s="7"/>
    </row>
    <row r="531" spans="2:2" x14ac:dyDescent="0.2">
      <c r="B531" s="7"/>
    </row>
    <row r="532" spans="2:2" x14ac:dyDescent="0.2">
      <c r="B532" s="7"/>
    </row>
    <row r="533" spans="2:2" x14ac:dyDescent="0.2">
      <c r="B533" s="7"/>
    </row>
    <row r="534" spans="2:2" x14ac:dyDescent="0.2">
      <c r="B534" s="7"/>
    </row>
    <row r="535" spans="2:2" x14ac:dyDescent="0.2">
      <c r="B535" s="7"/>
    </row>
    <row r="536" spans="2:2" x14ac:dyDescent="0.2">
      <c r="B536" s="7"/>
    </row>
    <row r="537" spans="2:2" x14ac:dyDescent="0.2">
      <c r="B537" s="7"/>
    </row>
    <row r="538" spans="2:2" x14ac:dyDescent="0.2">
      <c r="B538" s="7"/>
    </row>
    <row r="539" spans="2:2" x14ac:dyDescent="0.2">
      <c r="B539" s="7"/>
    </row>
    <row r="540" spans="2:2" x14ac:dyDescent="0.2">
      <c r="B540" s="7"/>
    </row>
    <row r="541" spans="2:2" x14ac:dyDescent="0.2">
      <c r="B541" s="7"/>
    </row>
    <row r="542" spans="2:2" x14ac:dyDescent="0.2">
      <c r="B542" s="7"/>
    </row>
    <row r="543" spans="2:2" x14ac:dyDescent="0.2">
      <c r="B543" s="7"/>
    </row>
    <row r="544" spans="2:2" x14ac:dyDescent="0.2">
      <c r="B544" s="7"/>
    </row>
    <row r="545" spans="2:2" x14ac:dyDescent="0.2">
      <c r="B545" s="7"/>
    </row>
    <row r="546" spans="2:2" x14ac:dyDescent="0.2">
      <c r="B546" s="7"/>
    </row>
    <row r="547" spans="2:2" x14ac:dyDescent="0.2">
      <c r="B547" s="7"/>
    </row>
    <row r="548" spans="2:2" x14ac:dyDescent="0.2">
      <c r="B548" s="7"/>
    </row>
    <row r="549" spans="2:2" x14ac:dyDescent="0.2">
      <c r="B549" s="7"/>
    </row>
    <row r="550" spans="2:2" x14ac:dyDescent="0.2">
      <c r="B550" s="7"/>
    </row>
    <row r="551" spans="2:2" x14ac:dyDescent="0.2">
      <c r="B551" s="7"/>
    </row>
    <row r="552" spans="2:2" x14ac:dyDescent="0.2">
      <c r="B552" s="7"/>
    </row>
    <row r="553" spans="2:2" x14ac:dyDescent="0.2">
      <c r="B553" s="7"/>
    </row>
    <row r="554" spans="2:2" x14ac:dyDescent="0.2">
      <c r="B554" s="7"/>
    </row>
    <row r="555" spans="2:2" x14ac:dyDescent="0.2">
      <c r="B555" s="7"/>
    </row>
    <row r="556" spans="2:2" x14ac:dyDescent="0.2">
      <c r="B556" s="7"/>
    </row>
    <row r="557" spans="2:2" x14ac:dyDescent="0.2">
      <c r="B557" s="7"/>
    </row>
    <row r="558" spans="2:2" x14ac:dyDescent="0.2">
      <c r="B558" s="7"/>
    </row>
    <row r="559" spans="2:2" x14ac:dyDescent="0.2">
      <c r="B559" s="7"/>
    </row>
    <row r="560" spans="2:2" x14ac:dyDescent="0.2">
      <c r="B560" s="7"/>
    </row>
    <row r="561" spans="2:2" x14ac:dyDescent="0.2">
      <c r="B561" s="7"/>
    </row>
    <row r="562" spans="2:2" x14ac:dyDescent="0.2">
      <c r="B562" s="7"/>
    </row>
    <row r="563" spans="2:2" x14ac:dyDescent="0.2">
      <c r="B563" s="7"/>
    </row>
    <row r="564" spans="2:2" x14ac:dyDescent="0.2">
      <c r="B564" s="7"/>
    </row>
    <row r="565" spans="2:2" x14ac:dyDescent="0.2">
      <c r="B565" s="7"/>
    </row>
    <row r="566" spans="2:2" x14ac:dyDescent="0.2">
      <c r="B566" s="7"/>
    </row>
    <row r="567" spans="2:2" x14ac:dyDescent="0.2">
      <c r="B567" s="7"/>
    </row>
    <row r="568" spans="2:2" x14ac:dyDescent="0.2">
      <c r="B568" s="7"/>
    </row>
    <row r="569" spans="2:2" x14ac:dyDescent="0.2">
      <c r="B569" s="7"/>
    </row>
    <row r="570" spans="2:2" x14ac:dyDescent="0.2">
      <c r="B570" s="7"/>
    </row>
    <row r="571" spans="2:2" x14ac:dyDescent="0.2">
      <c r="B571" s="7"/>
    </row>
    <row r="572" spans="2:2" x14ac:dyDescent="0.2">
      <c r="B572" s="7"/>
    </row>
    <row r="573" spans="2:2" x14ac:dyDescent="0.2">
      <c r="B573" s="7"/>
    </row>
    <row r="574" spans="2:2" x14ac:dyDescent="0.2">
      <c r="B574" s="7"/>
    </row>
    <row r="575" spans="2:2" x14ac:dyDescent="0.2">
      <c r="B575" s="7"/>
    </row>
    <row r="576" spans="2:2" x14ac:dyDescent="0.2">
      <c r="B576" s="7"/>
    </row>
    <row r="577" spans="2:2" x14ac:dyDescent="0.2">
      <c r="B577" s="7"/>
    </row>
    <row r="578" spans="2:2" x14ac:dyDescent="0.2">
      <c r="B578" s="7"/>
    </row>
    <row r="579" spans="2:2" x14ac:dyDescent="0.2">
      <c r="B579" s="7"/>
    </row>
    <row r="580" spans="2:2" x14ac:dyDescent="0.2">
      <c r="B580" s="7"/>
    </row>
    <row r="581" spans="2:2" x14ac:dyDescent="0.2">
      <c r="B581" s="7"/>
    </row>
    <row r="582" spans="2:2" x14ac:dyDescent="0.2">
      <c r="B582" s="7"/>
    </row>
    <row r="583" spans="2:2" x14ac:dyDescent="0.2">
      <c r="B583" s="7"/>
    </row>
    <row r="584" spans="2:2" x14ac:dyDescent="0.2">
      <c r="B584" s="7"/>
    </row>
    <row r="585" spans="2:2" x14ac:dyDescent="0.2">
      <c r="B585" s="7"/>
    </row>
    <row r="586" spans="2:2" x14ac:dyDescent="0.2">
      <c r="B586" s="7"/>
    </row>
    <row r="587" spans="2:2" x14ac:dyDescent="0.2">
      <c r="B587" s="7"/>
    </row>
    <row r="588" spans="2:2" x14ac:dyDescent="0.2">
      <c r="B588" s="7"/>
    </row>
    <row r="589" spans="2:2" x14ac:dyDescent="0.2">
      <c r="B589" s="7"/>
    </row>
    <row r="590" spans="2:2" x14ac:dyDescent="0.2">
      <c r="B590" s="7"/>
    </row>
    <row r="591" spans="2:2" x14ac:dyDescent="0.2">
      <c r="B591" s="7"/>
    </row>
    <row r="592" spans="2:2" x14ac:dyDescent="0.2">
      <c r="B592" s="7"/>
    </row>
    <row r="593" spans="2:2" x14ac:dyDescent="0.2">
      <c r="B593" s="7"/>
    </row>
    <row r="594" spans="2:2" x14ac:dyDescent="0.2">
      <c r="B594" s="7"/>
    </row>
    <row r="595" spans="2:2" x14ac:dyDescent="0.2">
      <c r="B595" s="7"/>
    </row>
    <row r="596" spans="2:2" x14ac:dyDescent="0.2">
      <c r="B596" s="7"/>
    </row>
    <row r="597" spans="2:2" x14ac:dyDescent="0.2">
      <c r="B597" s="7"/>
    </row>
    <row r="598" spans="2:2" x14ac:dyDescent="0.2">
      <c r="B598" s="7"/>
    </row>
    <row r="599" spans="2:2" x14ac:dyDescent="0.2">
      <c r="B599" s="7"/>
    </row>
    <row r="600" spans="2:2" x14ac:dyDescent="0.2">
      <c r="B600" s="7"/>
    </row>
    <row r="601" spans="2:2" x14ac:dyDescent="0.2">
      <c r="B601" s="7"/>
    </row>
    <row r="602" spans="2:2" x14ac:dyDescent="0.2">
      <c r="B602" s="7"/>
    </row>
    <row r="603" spans="2:2" x14ac:dyDescent="0.2">
      <c r="B603" s="7"/>
    </row>
    <row r="604" spans="2:2" x14ac:dyDescent="0.2">
      <c r="B604" s="7"/>
    </row>
    <row r="605" spans="2:2" x14ac:dyDescent="0.2">
      <c r="B605" s="7"/>
    </row>
    <row r="606" spans="2:2" x14ac:dyDescent="0.2">
      <c r="B606" s="7"/>
    </row>
    <row r="607" spans="2:2" x14ac:dyDescent="0.2">
      <c r="B607" s="7"/>
    </row>
    <row r="608" spans="2:2" x14ac:dyDescent="0.2">
      <c r="B608" s="7"/>
    </row>
    <row r="609" spans="2:2" x14ac:dyDescent="0.2">
      <c r="B609" s="7"/>
    </row>
    <row r="610" spans="2:2" x14ac:dyDescent="0.2">
      <c r="B610" s="7"/>
    </row>
    <row r="611" spans="2:2" x14ac:dyDescent="0.2">
      <c r="B611" s="7"/>
    </row>
    <row r="612" spans="2:2" x14ac:dyDescent="0.2">
      <c r="B612" s="7"/>
    </row>
    <row r="613" spans="2:2" x14ac:dyDescent="0.2">
      <c r="B613" s="7"/>
    </row>
    <row r="614" spans="2:2" x14ac:dyDescent="0.2">
      <c r="B614" s="7"/>
    </row>
    <row r="615" spans="2:2" x14ac:dyDescent="0.2">
      <c r="B615" s="7"/>
    </row>
    <row r="616" spans="2:2" x14ac:dyDescent="0.2">
      <c r="B616" s="7"/>
    </row>
    <row r="617" spans="2:2" x14ac:dyDescent="0.2">
      <c r="B617" s="7"/>
    </row>
    <row r="618" spans="2:2" x14ac:dyDescent="0.2">
      <c r="B618" s="7"/>
    </row>
    <row r="619" spans="2:2" x14ac:dyDescent="0.2">
      <c r="B619" s="7"/>
    </row>
    <row r="620" spans="2:2" x14ac:dyDescent="0.2">
      <c r="B620" s="7"/>
    </row>
    <row r="621" spans="2:2" x14ac:dyDescent="0.2">
      <c r="B621" s="7"/>
    </row>
    <row r="622" spans="2:2" x14ac:dyDescent="0.2">
      <c r="B622" s="7"/>
    </row>
    <row r="623" spans="2:2" x14ac:dyDescent="0.2">
      <c r="B623" s="7"/>
    </row>
    <row r="624" spans="2:2" x14ac:dyDescent="0.2">
      <c r="B624" s="7"/>
    </row>
    <row r="625" spans="2:2" x14ac:dyDescent="0.2">
      <c r="B625" s="7"/>
    </row>
    <row r="626" spans="2:2" x14ac:dyDescent="0.2">
      <c r="B626" s="7"/>
    </row>
    <row r="627" spans="2:2" x14ac:dyDescent="0.2">
      <c r="B627" s="7"/>
    </row>
    <row r="628" spans="2:2" x14ac:dyDescent="0.2">
      <c r="B628" s="7"/>
    </row>
    <row r="629" spans="2:2" x14ac:dyDescent="0.2">
      <c r="B629" s="7"/>
    </row>
    <row r="630" spans="2:2" x14ac:dyDescent="0.2">
      <c r="B630" s="7"/>
    </row>
    <row r="631" spans="2:2" x14ac:dyDescent="0.2">
      <c r="B631" s="7"/>
    </row>
    <row r="632" spans="2:2" x14ac:dyDescent="0.2">
      <c r="B632" s="7"/>
    </row>
    <row r="633" spans="2:2" x14ac:dyDescent="0.2">
      <c r="B633" s="7"/>
    </row>
    <row r="634" spans="2:2" x14ac:dyDescent="0.2">
      <c r="B634" s="7"/>
    </row>
    <row r="635" spans="2:2" x14ac:dyDescent="0.2">
      <c r="B635" s="7"/>
    </row>
    <row r="636" spans="2:2" x14ac:dyDescent="0.2">
      <c r="B636" s="7"/>
    </row>
    <row r="637" spans="2:2" x14ac:dyDescent="0.2">
      <c r="B637" s="7"/>
    </row>
    <row r="638" spans="2:2" x14ac:dyDescent="0.2">
      <c r="B638" s="7"/>
    </row>
    <row r="639" spans="2:2" x14ac:dyDescent="0.2">
      <c r="B639" s="7"/>
    </row>
    <row r="640" spans="2:2" x14ac:dyDescent="0.2">
      <c r="B640" s="7"/>
    </row>
    <row r="641" spans="2:2" x14ac:dyDescent="0.2">
      <c r="B641" s="7"/>
    </row>
    <row r="642" spans="2:2" x14ac:dyDescent="0.2">
      <c r="B642" s="7"/>
    </row>
    <row r="643" spans="2:2" x14ac:dyDescent="0.2">
      <c r="B643" s="7"/>
    </row>
    <row r="644" spans="2:2" x14ac:dyDescent="0.2">
      <c r="B644" s="7"/>
    </row>
    <row r="645" spans="2:2" x14ac:dyDescent="0.2">
      <c r="B645" s="7"/>
    </row>
    <row r="646" spans="2:2" x14ac:dyDescent="0.2">
      <c r="B646" s="7"/>
    </row>
    <row r="647" spans="2:2" x14ac:dyDescent="0.2">
      <c r="B647" s="7"/>
    </row>
    <row r="648" spans="2:2" x14ac:dyDescent="0.2">
      <c r="B648" s="7"/>
    </row>
    <row r="649" spans="2:2" x14ac:dyDescent="0.2">
      <c r="B649" s="7"/>
    </row>
    <row r="650" spans="2:2" x14ac:dyDescent="0.2">
      <c r="B650" s="7"/>
    </row>
    <row r="651" spans="2:2" x14ac:dyDescent="0.2">
      <c r="B651" s="7"/>
    </row>
    <row r="652" spans="2:2" x14ac:dyDescent="0.2">
      <c r="B652" s="7"/>
    </row>
    <row r="653" spans="2:2" x14ac:dyDescent="0.2">
      <c r="B653" s="7"/>
    </row>
    <row r="654" spans="2:2" x14ac:dyDescent="0.2">
      <c r="B654" s="7"/>
    </row>
    <row r="655" spans="2:2" x14ac:dyDescent="0.2">
      <c r="B655" s="7"/>
    </row>
    <row r="656" spans="2:2" x14ac:dyDescent="0.2">
      <c r="B656" s="7"/>
    </row>
    <row r="657" spans="2:2" x14ac:dyDescent="0.2">
      <c r="B657" s="7"/>
    </row>
    <row r="658" spans="2:2" x14ac:dyDescent="0.2">
      <c r="B658" s="7"/>
    </row>
    <row r="659" spans="2:2" x14ac:dyDescent="0.2">
      <c r="B659" s="7"/>
    </row>
    <row r="660" spans="2:2" x14ac:dyDescent="0.2">
      <c r="B660" s="7"/>
    </row>
    <row r="661" spans="2:2" x14ac:dyDescent="0.2">
      <c r="B661" s="7"/>
    </row>
    <row r="662" spans="2:2" x14ac:dyDescent="0.2">
      <c r="B662" s="7"/>
    </row>
    <row r="663" spans="2:2" x14ac:dyDescent="0.2">
      <c r="B663" s="7"/>
    </row>
    <row r="664" spans="2:2" x14ac:dyDescent="0.2">
      <c r="B664" s="7"/>
    </row>
    <row r="665" spans="2:2" x14ac:dyDescent="0.2">
      <c r="B665" s="7"/>
    </row>
    <row r="666" spans="2:2" x14ac:dyDescent="0.2">
      <c r="B666" s="7"/>
    </row>
    <row r="667" spans="2:2" x14ac:dyDescent="0.2">
      <c r="B667" s="7"/>
    </row>
    <row r="668" spans="2:2" x14ac:dyDescent="0.2">
      <c r="B668" s="7"/>
    </row>
    <row r="669" spans="2:2" x14ac:dyDescent="0.2">
      <c r="B669" s="7"/>
    </row>
    <row r="670" spans="2:2" x14ac:dyDescent="0.2">
      <c r="B670" s="7"/>
    </row>
    <row r="671" spans="2:2" x14ac:dyDescent="0.2">
      <c r="B671" s="7"/>
    </row>
    <row r="672" spans="2:2" x14ac:dyDescent="0.2">
      <c r="B672" s="7"/>
    </row>
    <row r="673" spans="2:2" x14ac:dyDescent="0.2">
      <c r="B673" s="7"/>
    </row>
    <row r="674" spans="2:2" x14ac:dyDescent="0.2">
      <c r="B674" s="7"/>
    </row>
    <row r="675" spans="2:2" x14ac:dyDescent="0.2">
      <c r="B675" s="7"/>
    </row>
    <row r="676" spans="2:2" x14ac:dyDescent="0.2">
      <c r="B676" s="7"/>
    </row>
    <row r="677" spans="2:2" x14ac:dyDescent="0.2">
      <c r="B677" s="7"/>
    </row>
    <row r="678" spans="2:2" x14ac:dyDescent="0.2">
      <c r="B678" s="7"/>
    </row>
    <row r="679" spans="2:2" x14ac:dyDescent="0.2">
      <c r="B679" s="7"/>
    </row>
    <row r="680" spans="2:2" x14ac:dyDescent="0.2">
      <c r="B680" s="7"/>
    </row>
    <row r="681" spans="2:2" x14ac:dyDescent="0.2">
      <c r="B681" s="7"/>
    </row>
    <row r="682" spans="2:2" x14ac:dyDescent="0.2">
      <c r="B682" s="7"/>
    </row>
    <row r="683" spans="2:2" x14ac:dyDescent="0.2">
      <c r="B683" s="7"/>
    </row>
    <row r="684" spans="2:2" x14ac:dyDescent="0.2">
      <c r="B684" s="7"/>
    </row>
    <row r="685" spans="2:2" x14ac:dyDescent="0.2">
      <c r="B685" s="7"/>
    </row>
    <row r="686" spans="2:2" x14ac:dyDescent="0.2">
      <c r="B686" s="7"/>
    </row>
    <row r="687" spans="2:2" x14ac:dyDescent="0.2">
      <c r="B687" s="7"/>
    </row>
    <row r="688" spans="2:2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  <row r="770" spans="2:2" x14ac:dyDescent="0.2">
      <c r="B770" s="7"/>
    </row>
    <row r="771" spans="2:2" x14ac:dyDescent="0.2">
      <c r="B771" s="7"/>
    </row>
    <row r="772" spans="2:2" x14ac:dyDescent="0.2">
      <c r="B772" s="7"/>
    </row>
    <row r="773" spans="2:2" x14ac:dyDescent="0.2">
      <c r="B773" s="7"/>
    </row>
    <row r="774" spans="2:2" x14ac:dyDescent="0.2">
      <c r="B774" s="7"/>
    </row>
    <row r="775" spans="2:2" x14ac:dyDescent="0.2">
      <c r="B775" s="7"/>
    </row>
    <row r="776" spans="2:2" x14ac:dyDescent="0.2">
      <c r="B776" s="7"/>
    </row>
    <row r="777" spans="2:2" x14ac:dyDescent="0.2">
      <c r="B777" s="7"/>
    </row>
    <row r="778" spans="2:2" x14ac:dyDescent="0.2">
      <c r="B778" s="7"/>
    </row>
    <row r="779" spans="2:2" x14ac:dyDescent="0.2">
      <c r="B779" s="7"/>
    </row>
    <row r="780" spans="2:2" x14ac:dyDescent="0.2">
      <c r="B780" s="7"/>
    </row>
    <row r="781" spans="2:2" x14ac:dyDescent="0.2">
      <c r="B781" s="7"/>
    </row>
    <row r="782" spans="2:2" x14ac:dyDescent="0.2">
      <c r="B782" s="7"/>
    </row>
    <row r="783" spans="2:2" x14ac:dyDescent="0.2">
      <c r="B783" s="7"/>
    </row>
    <row r="784" spans="2:2" x14ac:dyDescent="0.2">
      <c r="B784" s="7"/>
    </row>
    <row r="785" spans="2:2" x14ac:dyDescent="0.2">
      <c r="B785" s="7"/>
    </row>
    <row r="786" spans="2:2" x14ac:dyDescent="0.2">
      <c r="B786" s="7"/>
    </row>
    <row r="787" spans="2:2" x14ac:dyDescent="0.2">
      <c r="B787" s="7"/>
    </row>
    <row r="788" spans="2:2" x14ac:dyDescent="0.2">
      <c r="B788" s="7"/>
    </row>
    <row r="789" spans="2:2" x14ac:dyDescent="0.2">
      <c r="B789" s="7"/>
    </row>
    <row r="790" spans="2:2" x14ac:dyDescent="0.2">
      <c r="B790" s="7"/>
    </row>
    <row r="791" spans="2:2" x14ac:dyDescent="0.2">
      <c r="B791" s="7"/>
    </row>
    <row r="792" spans="2:2" x14ac:dyDescent="0.2">
      <c r="B792" s="7"/>
    </row>
    <row r="793" spans="2:2" x14ac:dyDescent="0.2">
      <c r="B793" s="7"/>
    </row>
    <row r="794" spans="2:2" x14ac:dyDescent="0.2">
      <c r="B794" s="7"/>
    </row>
    <row r="795" spans="2:2" x14ac:dyDescent="0.2">
      <c r="B795" s="7"/>
    </row>
    <row r="796" spans="2:2" x14ac:dyDescent="0.2">
      <c r="B796" s="7"/>
    </row>
    <row r="797" spans="2:2" x14ac:dyDescent="0.2">
      <c r="B797" s="7"/>
    </row>
    <row r="798" spans="2:2" x14ac:dyDescent="0.2">
      <c r="B798" s="7"/>
    </row>
    <row r="799" spans="2:2" x14ac:dyDescent="0.2">
      <c r="B799" s="7"/>
    </row>
    <row r="800" spans="2:2" x14ac:dyDescent="0.2">
      <c r="B800" s="7"/>
    </row>
    <row r="801" spans="2:2" x14ac:dyDescent="0.2">
      <c r="B801" s="7"/>
    </row>
    <row r="802" spans="2:2" x14ac:dyDescent="0.2">
      <c r="B802" s="7"/>
    </row>
    <row r="803" spans="2:2" x14ac:dyDescent="0.2">
      <c r="B803" s="7"/>
    </row>
    <row r="804" spans="2:2" x14ac:dyDescent="0.2">
      <c r="B804" s="7"/>
    </row>
    <row r="805" spans="2:2" x14ac:dyDescent="0.2">
      <c r="B805" s="7"/>
    </row>
    <row r="806" spans="2:2" x14ac:dyDescent="0.2">
      <c r="B806" s="7"/>
    </row>
    <row r="807" spans="2:2" x14ac:dyDescent="0.2">
      <c r="B807" s="7"/>
    </row>
    <row r="808" spans="2:2" x14ac:dyDescent="0.2">
      <c r="B808" s="7"/>
    </row>
    <row r="809" spans="2:2" x14ac:dyDescent="0.2">
      <c r="B809" s="7"/>
    </row>
    <row r="810" spans="2:2" x14ac:dyDescent="0.2">
      <c r="B810" s="7"/>
    </row>
    <row r="811" spans="2:2" x14ac:dyDescent="0.2">
      <c r="B811" s="7"/>
    </row>
    <row r="812" spans="2:2" x14ac:dyDescent="0.2">
      <c r="B812" s="7"/>
    </row>
    <row r="813" spans="2:2" x14ac:dyDescent="0.2">
      <c r="B813" s="7"/>
    </row>
    <row r="814" spans="2:2" x14ac:dyDescent="0.2">
      <c r="B814" s="7"/>
    </row>
    <row r="815" spans="2:2" x14ac:dyDescent="0.2">
      <c r="B815" s="7"/>
    </row>
    <row r="816" spans="2:2" x14ac:dyDescent="0.2">
      <c r="B816" s="7"/>
    </row>
    <row r="817" spans="2:2" x14ac:dyDescent="0.2">
      <c r="B817" s="7"/>
    </row>
    <row r="818" spans="2:2" x14ac:dyDescent="0.2">
      <c r="B818" s="7"/>
    </row>
    <row r="819" spans="2:2" x14ac:dyDescent="0.2">
      <c r="B819" s="7"/>
    </row>
    <row r="820" spans="2:2" x14ac:dyDescent="0.2">
      <c r="B820" s="7"/>
    </row>
    <row r="821" spans="2:2" x14ac:dyDescent="0.2">
      <c r="B821" s="7"/>
    </row>
    <row r="822" spans="2:2" x14ac:dyDescent="0.2">
      <c r="B822" s="7"/>
    </row>
    <row r="823" spans="2:2" x14ac:dyDescent="0.2">
      <c r="B823" s="7"/>
    </row>
    <row r="824" spans="2:2" x14ac:dyDescent="0.2">
      <c r="B824" s="7"/>
    </row>
    <row r="825" spans="2:2" x14ac:dyDescent="0.2">
      <c r="B825" s="7"/>
    </row>
    <row r="826" spans="2:2" x14ac:dyDescent="0.2">
      <c r="B826" s="7"/>
    </row>
    <row r="827" spans="2:2" x14ac:dyDescent="0.2">
      <c r="B827" s="7"/>
    </row>
    <row r="828" spans="2:2" x14ac:dyDescent="0.2">
      <c r="B828" s="7"/>
    </row>
    <row r="829" spans="2:2" x14ac:dyDescent="0.2">
      <c r="B829" s="7"/>
    </row>
    <row r="830" spans="2:2" x14ac:dyDescent="0.2">
      <c r="B830" s="7"/>
    </row>
    <row r="831" spans="2:2" x14ac:dyDescent="0.2">
      <c r="B831" s="7"/>
    </row>
    <row r="832" spans="2:2" x14ac:dyDescent="0.2">
      <c r="B832" s="7"/>
    </row>
    <row r="833" spans="2:2" x14ac:dyDescent="0.2">
      <c r="B833" s="7"/>
    </row>
    <row r="834" spans="2:2" x14ac:dyDescent="0.2">
      <c r="B834" s="7"/>
    </row>
    <row r="835" spans="2:2" x14ac:dyDescent="0.2">
      <c r="B835" s="7"/>
    </row>
    <row r="836" spans="2:2" x14ac:dyDescent="0.2">
      <c r="B836" s="7"/>
    </row>
    <row r="837" spans="2:2" x14ac:dyDescent="0.2">
      <c r="B837" s="7"/>
    </row>
    <row r="838" spans="2:2" x14ac:dyDescent="0.2">
      <c r="B838" s="7"/>
    </row>
    <row r="839" spans="2:2" x14ac:dyDescent="0.2">
      <c r="B839" s="7"/>
    </row>
    <row r="840" spans="2:2" x14ac:dyDescent="0.2">
      <c r="B840" s="7"/>
    </row>
    <row r="841" spans="2:2" x14ac:dyDescent="0.2">
      <c r="B841" s="7"/>
    </row>
    <row r="842" spans="2:2" x14ac:dyDescent="0.2">
      <c r="B842" s="7"/>
    </row>
    <row r="843" spans="2:2" x14ac:dyDescent="0.2">
      <c r="B843" s="7"/>
    </row>
    <row r="844" spans="2:2" x14ac:dyDescent="0.2">
      <c r="B844" s="7"/>
    </row>
    <row r="845" spans="2:2" x14ac:dyDescent="0.2">
      <c r="B845" s="7"/>
    </row>
    <row r="846" spans="2:2" x14ac:dyDescent="0.2">
      <c r="B846" s="7"/>
    </row>
    <row r="847" spans="2:2" x14ac:dyDescent="0.2">
      <c r="B847" s="7"/>
    </row>
    <row r="848" spans="2:2" x14ac:dyDescent="0.2">
      <c r="B848" s="7"/>
    </row>
    <row r="849" spans="2:2" x14ac:dyDescent="0.2">
      <c r="B849" s="7"/>
    </row>
    <row r="850" spans="2:2" x14ac:dyDescent="0.2">
      <c r="B850" s="7"/>
    </row>
    <row r="851" spans="2:2" x14ac:dyDescent="0.2">
      <c r="B851" s="7"/>
    </row>
    <row r="852" spans="2:2" x14ac:dyDescent="0.2">
      <c r="B852" s="7"/>
    </row>
    <row r="853" spans="2:2" x14ac:dyDescent="0.2">
      <c r="B853" s="7"/>
    </row>
    <row r="854" spans="2:2" x14ac:dyDescent="0.2">
      <c r="B854" s="7"/>
    </row>
    <row r="855" spans="2:2" x14ac:dyDescent="0.2">
      <c r="B855" s="7"/>
    </row>
    <row r="856" spans="2:2" x14ac:dyDescent="0.2">
      <c r="B856" s="7"/>
    </row>
    <row r="857" spans="2:2" x14ac:dyDescent="0.2">
      <c r="B857" s="7"/>
    </row>
    <row r="858" spans="2:2" x14ac:dyDescent="0.2">
      <c r="B858" s="7"/>
    </row>
    <row r="859" spans="2:2" x14ac:dyDescent="0.2">
      <c r="B859" s="7"/>
    </row>
    <row r="860" spans="2:2" x14ac:dyDescent="0.2">
      <c r="B860" s="7"/>
    </row>
    <row r="861" spans="2:2" x14ac:dyDescent="0.2">
      <c r="B861" s="7"/>
    </row>
    <row r="862" spans="2:2" x14ac:dyDescent="0.2">
      <c r="B862" s="7"/>
    </row>
    <row r="863" spans="2:2" x14ac:dyDescent="0.2">
      <c r="B863" s="7"/>
    </row>
    <row r="864" spans="2:2" x14ac:dyDescent="0.2">
      <c r="B864" s="7"/>
    </row>
    <row r="865" spans="2:2" x14ac:dyDescent="0.2">
      <c r="B865" s="7"/>
    </row>
    <row r="866" spans="2:2" x14ac:dyDescent="0.2">
      <c r="B866" s="7"/>
    </row>
    <row r="867" spans="2:2" x14ac:dyDescent="0.2">
      <c r="B867" s="7"/>
    </row>
    <row r="868" spans="2:2" x14ac:dyDescent="0.2">
      <c r="B868" s="7"/>
    </row>
    <row r="869" spans="2:2" x14ac:dyDescent="0.2">
      <c r="B869" s="7"/>
    </row>
    <row r="870" spans="2:2" x14ac:dyDescent="0.2">
      <c r="B870" s="7"/>
    </row>
    <row r="871" spans="2:2" x14ac:dyDescent="0.2">
      <c r="B871" s="7"/>
    </row>
    <row r="872" spans="2:2" x14ac:dyDescent="0.2">
      <c r="B872" s="7"/>
    </row>
    <row r="873" spans="2:2" x14ac:dyDescent="0.2">
      <c r="B873" s="7"/>
    </row>
    <row r="874" spans="2:2" x14ac:dyDescent="0.2">
      <c r="B874" s="7"/>
    </row>
    <row r="875" spans="2:2" x14ac:dyDescent="0.2">
      <c r="B875" s="7"/>
    </row>
    <row r="876" spans="2:2" x14ac:dyDescent="0.2">
      <c r="B876" s="7"/>
    </row>
    <row r="877" spans="2:2" x14ac:dyDescent="0.2">
      <c r="B877" s="7"/>
    </row>
    <row r="878" spans="2:2" x14ac:dyDescent="0.2">
      <c r="B878" s="7"/>
    </row>
    <row r="879" spans="2:2" x14ac:dyDescent="0.2">
      <c r="B879" s="7"/>
    </row>
    <row r="880" spans="2:2" x14ac:dyDescent="0.2">
      <c r="B880" s="7"/>
    </row>
    <row r="881" spans="2:2" x14ac:dyDescent="0.2">
      <c r="B881" s="7"/>
    </row>
    <row r="882" spans="2:2" x14ac:dyDescent="0.2">
      <c r="B882" s="7"/>
    </row>
    <row r="883" spans="2:2" x14ac:dyDescent="0.2">
      <c r="B883" s="7"/>
    </row>
    <row r="884" spans="2:2" x14ac:dyDescent="0.2">
      <c r="B884" s="7"/>
    </row>
    <row r="885" spans="2:2" x14ac:dyDescent="0.2">
      <c r="B885" s="7"/>
    </row>
    <row r="886" spans="2:2" x14ac:dyDescent="0.2">
      <c r="B886" s="7"/>
    </row>
    <row r="887" spans="2:2" x14ac:dyDescent="0.2">
      <c r="B887" s="7"/>
    </row>
    <row r="888" spans="2:2" x14ac:dyDescent="0.2">
      <c r="B888" s="7"/>
    </row>
    <row r="889" spans="2:2" x14ac:dyDescent="0.2">
      <c r="B889" s="7"/>
    </row>
    <row r="890" spans="2:2" x14ac:dyDescent="0.2">
      <c r="B890" s="7"/>
    </row>
    <row r="891" spans="2:2" x14ac:dyDescent="0.2">
      <c r="B891" s="7"/>
    </row>
    <row r="892" spans="2:2" x14ac:dyDescent="0.2">
      <c r="B892" s="7"/>
    </row>
    <row r="893" spans="2:2" x14ac:dyDescent="0.2">
      <c r="B893" s="7"/>
    </row>
    <row r="894" spans="2:2" x14ac:dyDescent="0.2">
      <c r="B894" s="7"/>
    </row>
    <row r="895" spans="2:2" x14ac:dyDescent="0.2">
      <c r="B895" s="7"/>
    </row>
    <row r="896" spans="2:2" x14ac:dyDescent="0.2">
      <c r="B896" s="7"/>
    </row>
    <row r="897" spans="2:2" x14ac:dyDescent="0.2">
      <c r="B897" s="7"/>
    </row>
    <row r="898" spans="2:2" x14ac:dyDescent="0.2">
      <c r="B898" s="7"/>
    </row>
    <row r="899" spans="2:2" x14ac:dyDescent="0.2">
      <c r="B899" s="7"/>
    </row>
    <row r="900" spans="2:2" x14ac:dyDescent="0.2">
      <c r="B900" s="7"/>
    </row>
    <row r="901" spans="2:2" x14ac:dyDescent="0.2">
      <c r="B901" s="7"/>
    </row>
    <row r="902" spans="2:2" x14ac:dyDescent="0.2">
      <c r="B902" s="7"/>
    </row>
    <row r="903" spans="2:2" x14ac:dyDescent="0.2">
      <c r="B903" s="7"/>
    </row>
    <row r="904" spans="2:2" x14ac:dyDescent="0.2">
      <c r="B904" s="7"/>
    </row>
    <row r="905" spans="2:2" x14ac:dyDescent="0.2">
      <c r="B905" s="7"/>
    </row>
    <row r="906" spans="2:2" x14ac:dyDescent="0.2">
      <c r="B906" s="7"/>
    </row>
    <row r="907" spans="2:2" x14ac:dyDescent="0.2">
      <c r="B907" s="7"/>
    </row>
    <row r="908" spans="2:2" x14ac:dyDescent="0.2">
      <c r="B908" s="7"/>
    </row>
    <row r="909" spans="2:2" x14ac:dyDescent="0.2">
      <c r="B909" s="7"/>
    </row>
    <row r="910" spans="2:2" x14ac:dyDescent="0.2">
      <c r="B910" s="7"/>
    </row>
    <row r="911" spans="2:2" x14ac:dyDescent="0.2">
      <c r="B911" s="7"/>
    </row>
    <row r="912" spans="2:2" x14ac:dyDescent="0.2">
      <c r="B912" s="7"/>
    </row>
    <row r="913" spans="2:2" x14ac:dyDescent="0.2">
      <c r="B913" s="7"/>
    </row>
    <row r="914" spans="2:2" x14ac:dyDescent="0.2">
      <c r="B914" s="7"/>
    </row>
    <row r="915" spans="2:2" x14ac:dyDescent="0.2">
      <c r="B915" s="7"/>
    </row>
    <row r="916" spans="2:2" x14ac:dyDescent="0.2">
      <c r="B916" s="7"/>
    </row>
    <row r="917" spans="2:2" x14ac:dyDescent="0.2">
      <c r="B917" s="7"/>
    </row>
    <row r="918" spans="2:2" x14ac:dyDescent="0.2">
      <c r="B918" s="7"/>
    </row>
    <row r="919" spans="2:2" x14ac:dyDescent="0.2">
      <c r="B919" s="7"/>
    </row>
    <row r="920" spans="2:2" x14ac:dyDescent="0.2">
      <c r="B920" s="7"/>
    </row>
    <row r="921" spans="2:2" x14ac:dyDescent="0.2">
      <c r="B921" s="7"/>
    </row>
    <row r="922" spans="2:2" x14ac:dyDescent="0.2">
      <c r="B922" s="7"/>
    </row>
    <row r="923" spans="2:2" x14ac:dyDescent="0.2">
      <c r="B923" s="7"/>
    </row>
    <row r="924" spans="2:2" x14ac:dyDescent="0.2">
      <c r="B924" s="7"/>
    </row>
    <row r="925" spans="2:2" x14ac:dyDescent="0.2">
      <c r="B925" s="7"/>
    </row>
    <row r="926" spans="2:2" x14ac:dyDescent="0.2">
      <c r="B926" s="7"/>
    </row>
    <row r="927" spans="2:2" x14ac:dyDescent="0.2">
      <c r="B927" s="7"/>
    </row>
    <row r="928" spans="2:2" x14ac:dyDescent="0.2">
      <c r="B928" s="7"/>
    </row>
    <row r="929" spans="2:2" x14ac:dyDescent="0.2">
      <c r="B929" s="7"/>
    </row>
    <row r="930" spans="2:2" x14ac:dyDescent="0.2">
      <c r="B930" s="7"/>
    </row>
    <row r="931" spans="2:2" x14ac:dyDescent="0.2">
      <c r="B931" s="7"/>
    </row>
    <row r="932" spans="2:2" x14ac:dyDescent="0.2">
      <c r="B932" s="7"/>
    </row>
    <row r="933" spans="2:2" x14ac:dyDescent="0.2">
      <c r="B933" s="7"/>
    </row>
    <row r="934" spans="2:2" x14ac:dyDescent="0.2">
      <c r="B934" s="7"/>
    </row>
    <row r="935" spans="2:2" x14ac:dyDescent="0.2">
      <c r="B935" s="7"/>
    </row>
    <row r="936" spans="2:2" x14ac:dyDescent="0.2">
      <c r="B936" s="7"/>
    </row>
    <row r="937" spans="2:2" x14ac:dyDescent="0.2">
      <c r="B937" s="7"/>
    </row>
    <row r="938" spans="2:2" x14ac:dyDescent="0.2">
      <c r="B938" s="7"/>
    </row>
    <row r="939" spans="2:2" x14ac:dyDescent="0.2">
      <c r="B939" s="7"/>
    </row>
    <row r="940" spans="2:2" x14ac:dyDescent="0.2">
      <c r="B940" s="7"/>
    </row>
    <row r="941" spans="2:2" x14ac:dyDescent="0.2">
      <c r="B941" s="7"/>
    </row>
    <row r="942" spans="2:2" x14ac:dyDescent="0.2">
      <c r="B942" s="7"/>
    </row>
    <row r="943" spans="2:2" x14ac:dyDescent="0.2">
      <c r="B943" s="7"/>
    </row>
    <row r="944" spans="2:2" x14ac:dyDescent="0.2">
      <c r="B944" s="7"/>
    </row>
    <row r="945" spans="2:2" x14ac:dyDescent="0.2">
      <c r="B945" s="7"/>
    </row>
    <row r="946" spans="2:2" x14ac:dyDescent="0.2">
      <c r="B946" s="7"/>
    </row>
    <row r="947" spans="2:2" x14ac:dyDescent="0.2">
      <c r="B947" s="7"/>
    </row>
    <row r="948" spans="2:2" x14ac:dyDescent="0.2">
      <c r="B948" s="7"/>
    </row>
    <row r="949" spans="2:2" x14ac:dyDescent="0.2">
      <c r="B949" s="7"/>
    </row>
    <row r="950" spans="2:2" x14ac:dyDescent="0.2">
      <c r="B950" s="7"/>
    </row>
    <row r="951" spans="2:2" x14ac:dyDescent="0.2">
      <c r="B951" s="7"/>
    </row>
    <row r="952" spans="2:2" x14ac:dyDescent="0.2">
      <c r="B952" s="7"/>
    </row>
    <row r="953" spans="2:2" x14ac:dyDescent="0.2">
      <c r="B953" s="7"/>
    </row>
    <row r="954" spans="2:2" x14ac:dyDescent="0.2">
      <c r="B954" s="7"/>
    </row>
    <row r="955" spans="2:2" x14ac:dyDescent="0.2">
      <c r="B955" s="7"/>
    </row>
    <row r="956" spans="2:2" x14ac:dyDescent="0.2">
      <c r="B956" s="7"/>
    </row>
    <row r="957" spans="2:2" x14ac:dyDescent="0.2">
      <c r="B957" s="7"/>
    </row>
    <row r="958" spans="2:2" x14ac:dyDescent="0.2">
      <c r="B958" s="7"/>
    </row>
    <row r="959" spans="2:2" x14ac:dyDescent="0.2">
      <c r="B959" s="7"/>
    </row>
    <row r="960" spans="2:2" x14ac:dyDescent="0.2">
      <c r="B960" s="7"/>
    </row>
    <row r="961" spans="2:2" x14ac:dyDescent="0.2">
      <c r="B961" s="7"/>
    </row>
    <row r="962" spans="2:2" x14ac:dyDescent="0.2">
      <c r="B962" s="7"/>
    </row>
    <row r="963" spans="2:2" x14ac:dyDescent="0.2">
      <c r="B963" s="7"/>
    </row>
    <row r="964" spans="2:2" x14ac:dyDescent="0.2">
      <c r="B964" s="7"/>
    </row>
    <row r="965" spans="2:2" x14ac:dyDescent="0.2">
      <c r="B965" s="7"/>
    </row>
    <row r="966" spans="2:2" x14ac:dyDescent="0.2">
      <c r="B966" s="7"/>
    </row>
    <row r="967" spans="2:2" x14ac:dyDescent="0.2">
      <c r="B967" s="7"/>
    </row>
    <row r="968" spans="2:2" x14ac:dyDescent="0.2">
      <c r="B968" s="7"/>
    </row>
    <row r="969" spans="2:2" x14ac:dyDescent="0.2">
      <c r="B969" s="7"/>
    </row>
    <row r="970" spans="2:2" x14ac:dyDescent="0.2">
      <c r="B970" s="7"/>
    </row>
    <row r="971" spans="2:2" x14ac:dyDescent="0.2">
      <c r="B971" s="7"/>
    </row>
    <row r="972" spans="2:2" x14ac:dyDescent="0.2">
      <c r="B972" s="7"/>
    </row>
    <row r="973" spans="2:2" x14ac:dyDescent="0.2">
      <c r="B973" s="7"/>
    </row>
    <row r="974" spans="2:2" x14ac:dyDescent="0.2">
      <c r="B974" s="7"/>
    </row>
    <row r="975" spans="2:2" x14ac:dyDescent="0.2">
      <c r="B975" s="7"/>
    </row>
    <row r="976" spans="2:2" x14ac:dyDescent="0.2">
      <c r="B976" s="7"/>
    </row>
    <row r="977" spans="2:2" x14ac:dyDescent="0.2">
      <c r="B977" s="7"/>
    </row>
    <row r="978" spans="2:2" x14ac:dyDescent="0.2">
      <c r="B978" s="7"/>
    </row>
    <row r="979" spans="2:2" x14ac:dyDescent="0.2">
      <c r="B979" s="7"/>
    </row>
    <row r="980" spans="2:2" x14ac:dyDescent="0.2">
      <c r="B980" s="7"/>
    </row>
    <row r="981" spans="2:2" x14ac:dyDescent="0.2">
      <c r="B981" s="7"/>
    </row>
    <row r="982" spans="2:2" x14ac:dyDescent="0.2">
      <c r="B982" s="7"/>
    </row>
    <row r="983" spans="2:2" x14ac:dyDescent="0.2">
      <c r="B983" s="7"/>
    </row>
    <row r="984" spans="2:2" x14ac:dyDescent="0.2">
      <c r="B984" s="7"/>
    </row>
    <row r="985" spans="2:2" x14ac:dyDescent="0.2">
      <c r="B985" s="7"/>
    </row>
    <row r="986" spans="2:2" x14ac:dyDescent="0.2">
      <c r="B986" s="7"/>
    </row>
    <row r="987" spans="2:2" x14ac:dyDescent="0.2">
      <c r="B987" s="7"/>
    </row>
    <row r="988" spans="2:2" x14ac:dyDescent="0.2">
      <c r="B988" s="7"/>
    </row>
    <row r="989" spans="2:2" x14ac:dyDescent="0.2">
      <c r="B989" s="7"/>
    </row>
    <row r="990" spans="2:2" x14ac:dyDescent="0.2">
      <c r="B990" s="7"/>
    </row>
    <row r="991" spans="2:2" x14ac:dyDescent="0.2">
      <c r="B991" s="7"/>
    </row>
    <row r="992" spans="2:2" x14ac:dyDescent="0.2">
      <c r="B992" s="7"/>
    </row>
    <row r="993" spans="2:2" x14ac:dyDescent="0.2">
      <c r="B993" s="7"/>
    </row>
    <row r="994" spans="2:2" x14ac:dyDescent="0.2">
      <c r="B994" s="7"/>
    </row>
    <row r="995" spans="2:2" x14ac:dyDescent="0.2">
      <c r="B995" s="7"/>
    </row>
    <row r="996" spans="2:2" x14ac:dyDescent="0.2">
      <c r="B996" s="7"/>
    </row>
    <row r="997" spans="2:2" x14ac:dyDescent="0.2">
      <c r="B997" s="7"/>
    </row>
    <row r="998" spans="2:2" x14ac:dyDescent="0.2">
      <c r="B998" s="7"/>
    </row>
    <row r="999" spans="2:2" x14ac:dyDescent="0.2">
      <c r="B999" s="7"/>
    </row>
    <row r="1000" spans="2:2" x14ac:dyDescent="0.2">
      <c r="B1000" s="7"/>
    </row>
    <row r="1001" spans="2:2" x14ac:dyDescent="0.2">
      <c r="B1001" s="7"/>
    </row>
    <row r="1002" spans="2:2" x14ac:dyDescent="0.2">
      <c r="B1002" s="7"/>
    </row>
    <row r="1003" spans="2:2" x14ac:dyDescent="0.2">
      <c r="B1003" s="7"/>
    </row>
    <row r="1004" spans="2:2" x14ac:dyDescent="0.2">
      <c r="B1004" s="7"/>
    </row>
    <row r="1005" spans="2:2" x14ac:dyDescent="0.2">
      <c r="B1005" s="7"/>
    </row>
    <row r="1006" spans="2:2" x14ac:dyDescent="0.2">
      <c r="B1006" s="7"/>
    </row>
    <row r="1007" spans="2:2" x14ac:dyDescent="0.2">
      <c r="B1007" s="7"/>
    </row>
    <row r="1008" spans="2:2" x14ac:dyDescent="0.2">
      <c r="B1008" s="7"/>
    </row>
    <row r="1009" spans="2:2" x14ac:dyDescent="0.2">
      <c r="B1009" s="7"/>
    </row>
    <row r="1010" spans="2:2" x14ac:dyDescent="0.2">
      <c r="B1010" s="7"/>
    </row>
    <row r="1011" spans="2:2" x14ac:dyDescent="0.2">
      <c r="B1011" s="7"/>
    </row>
    <row r="1012" spans="2:2" x14ac:dyDescent="0.2">
      <c r="B1012" s="7"/>
    </row>
    <row r="1013" spans="2:2" x14ac:dyDescent="0.2">
      <c r="B1013" s="7"/>
    </row>
    <row r="1014" spans="2:2" x14ac:dyDescent="0.2">
      <c r="B1014" s="7"/>
    </row>
    <row r="1015" spans="2:2" x14ac:dyDescent="0.2">
      <c r="B1015" s="7"/>
    </row>
    <row r="1016" spans="2:2" x14ac:dyDescent="0.2">
      <c r="B1016" s="7"/>
    </row>
    <row r="1017" spans="2:2" x14ac:dyDescent="0.2">
      <c r="B1017" s="7"/>
    </row>
    <row r="1018" spans="2:2" x14ac:dyDescent="0.2">
      <c r="B1018" s="7"/>
    </row>
    <row r="1019" spans="2:2" x14ac:dyDescent="0.2">
      <c r="B1019" s="7"/>
    </row>
    <row r="1020" spans="2:2" x14ac:dyDescent="0.2">
      <c r="B1020" s="7"/>
    </row>
    <row r="1021" spans="2:2" x14ac:dyDescent="0.2">
      <c r="B1021" s="7"/>
    </row>
    <row r="1022" spans="2:2" x14ac:dyDescent="0.2">
      <c r="B1022" s="7"/>
    </row>
    <row r="1023" spans="2:2" x14ac:dyDescent="0.2">
      <c r="B1023" s="7"/>
    </row>
    <row r="1024" spans="2:2" x14ac:dyDescent="0.2">
      <c r="B1024" s="7"/>
    </row>
    <row r="1025" spans="2:2" x14ac:dyDescent="0.2">
      <c r="B1025" s="7"/>
    </row>
    <row r="1026" spans="2:2" x14ac:dyDescent="0.2">
      <c r="B1026" s="7"/>
    </row>
    <row r="1027" spans="2:2" x14ac:dyDescent="0.2">
      <c r="B1027" s="7"/>
    </row>
    <row r="1028" spans="2:2" x14ac:dyDescent="0.2">
      <c r="B1028" s="7"/>
    </row>
    <row r="1029" spans="2:2" x14ac:dyDescent="0.2">
      <c r="B1029" s="7"/>
    </row>
    <row r="1030" spans="2:2" x14ac:dyDescent="0.2">
      <c r="B1030" s="7"/>
    </row>
    <row r="1031" spans="2:2" x14ac:dyDescent="0.2">
      <c r="B1031" s="7"/>
    </row>
    <row r="1032" spans="2:2" x14ac:dyDescent="0.2">
      <c r="B1032" s="7"/>
    </row>
    <row r="1033" spans="2:2" x14ac:dyDescent="0.2">
      <c r="B1033" s="7"/>
    </row>
    <row r="1034" spans="2:2" x14ac:dyDescent="0.2">
      <c r="B1034" s="7"/>
    </row>
    <row r="1035" spans="2:2" x14ac:dyDescent="0.2">
      <c r="B1035" s="7"/>
    </row>
    <row r="1036" spans="2:2" x14ac:dyDescent="0.2">
      <c r="B1036" s="7"/>
    </row>
    <row r="1037" spans="2:2" x14ac:dyDescent="0.2">
      <c r="B1037" s="7"/>
    </row>
    <row r="1038" spans="2:2" x14ac:dyDescent="0.2">
      <c r="B1038" s="7"/>
    </row>
    <row r="1039" spans="2:2" x14ac:dyDescent="0.2">
      <c r="B1039" s="7"/>
    </row>
    <row r="1040" spans="2:2" x14ac:dyDescent="0.2">
      <c r="B1040" s="7"/>
    </row>
    <row r="1041" spans="2:2" x14ac:dyDescent="0.2">
      <c r="B1041" s="7"/>
    </row>
    <row r="1042" spans="2:2" x14ac:dyDescent="0.2">
      <c r="B1042" s="7"/>
    </row>
    <row r="1043" spans="2:2" x14ac:dyDescent="0.2">
      <c r="B1043" s="7"/>
    </row>
    <row r="1044" spans="2:2" x14ac:dyDescent="0.2">
      <c r="B1044" s="7"/>
    </row>
    <row r="1045" spans="2:2" x14ac:dyDescent="0.2">
      <c r="B1045" s="7"/>
    </row>
    <row r="1046" spans="2:2" x14ac:dyDescent="0.2">
      <c r="B1046" s="7"/>
    </row>
    <row r="1047" spans="2:2" x14ac:dyDescent="0.2">
      <c r="B1047" s="7"/>
    </row>
    <row r="1048" spans="2:2" x14ac:dyDescent="0.2">
      <c r="B1048" s="7"/>
    </row>
    <row r="1049" spans="2:2" x14ac:dyDescent="0.2">
      <c r="B1049" s="7"/>
    </row>
    <row r="1050" spans="2:2" x14ac:dyDescent="0.2">
      <c r="B1050" s="7"/>
    </row>
    <row r="1051" spans="2:2" x14ac:dyDescent="0.2">
      <c r="B1051" s="7"/>
    </row>
    <row r="1052" spans="2:2" x14ac:dyDescent="0.2">
      <c r="B1052" s="7"/>
    </row>
    <row r="1053" spans="2:2" x14ac:dyDescent="0.2">
      <c r="B1053" s="7"/>
    </row>
    <row r="1054" spans="2:2" x14ac:dyDescent="0.2">
      <c r="B1054" s="7"/>
    </row>
    <row r="1055" spans="2:2" x14ac:dyDescent="0.2">
      <c r="B1055" s="7"/>
    </row>
    <row r="1056" spans="2:2" x14ac:dyDescent="0.2">
      <c r="B1056" s="7"/>
    </row>
    <row r="1057" spans="2:2" x14ac:dyDescent="0.2">
      <c r="B1057" s="7"/>
    </row>
    <row r="1058" spans="2:2" x14ac:dyDescent="0.2">
      <c r="B1058" s="7"/>
    </row>
    <row r="1059" spans="2:2" x14ac:dyDescent="0.2">
      <c r="B1059" s="7"/>
    </row>
    <row r="1060" spans="2:2" x14ac:dyDescent="0.2">
      <c r="B1060" s="7"/>
    </row>
    <row r="1061" spans="2:2" x14ac:dyDescent="0.2">
      <c r="B1061" s="7"/>
    </row>
    <row r="1062" spans="2:2" x14ac:dyDescent="0.2">
      <c r="B1062" s="7"/>
    </row>
    <row r="1063" spans="2:2" x14ac:dyDescent="0.2">
      <c r="B1063" s="7"/>
    </row>
    <row r="1064" spans="2:2" x14ac:dyDescent="0.2">
      <c r="B1064" s="7"/>
    </row>
    <row r="1065" spans="2:2" x14ac:dyDescent="0.2">
      <c r="B1065" s="7"/>
    </row>
    <row r="1066" spans="2:2" x14ac:dyDescent="0.2">
      <c r="B1066" s="7"/>
    </row>
    <row r="1067" spans="2:2" x14ac:dyDescent="0.2">
      <c r="B1067" s="7"/>
    </row>
    <row r="1068" spans="2:2" x14ac:dyDescent="0.2">
      <c r="B1068" s="7"/>
    </row>
    <row r="1069" spans="2:2" x14ac:dyDescent="0.2">
      <c r="B1069" s="7"/>
    </row>
    <row r="1070" spans="2:2" x14ac:dyDescent="0.2">
      <c r="B1070" s="7"/>
    </row>
    <row r="1071" spans="2:2" x14ac:dyDescent="0.2">
      <c r="B1071" s="7"/>
    </row>
    <row r="1072" spans="2:2" x14ac:dyDescent="0.2">
      <c r="B1072" s="7"/>
    </row>
    <row r="1073" spans="2:2" x14ac:dyDescent="0.2">
      <c r="B1073" s="7"/>
    </row>
    <row r="1074" spans="2:2" x14ac:dyDescent="0.2">
      <c r="B1074" s="7"/>
    </row>
    <row r="1075" spans="2:2" x14ac:dyDescent="0.2">
      <c r="B1075" s="7"/>
    </row>
    <row r="1076" spans="2:2" x14ac:dyDescent="0.2">
      <c r="B1076" s="7"/>
    </row>
    <row r="1077" spans="2:2" x14ac:dyDescent="0.2">
      <c r="B1077" s="7"/>
    </row>
    <row r="1078" spans="2:2" x14ac:dyDescent="0.2">
      <c r="B1078" s="7"/>
    </row>
    <row r="1079" spans="2:2" x14ac:dyDescent="0.2">
      <c r="B1079" s="7"/>
    </row>
    <row r="1080" spans="2:2" x14ac:dyDescent="0.2">
      <c r="B1080" s="7"/>
    </row>
    <row r="1081" spans="2:2" x14ac:dyDescent="0.2">
      <c r="B1081" s="7"/>
    </row>
    <row r="1082" spans="2:2" x14ac:dyDescent="0.2">
      <c r="B1082" s="7"/>
    </row>
    <row r="1083" spans="2:2" x14ac:dyDescent="0.2">
      <c r="B1083" s="7"/>
    </row>
    <row r="1084" spans="2:2" x14ac:dyDescent="0.2">
      <c r="B1084" s="7"/>
    </row>
    <row r="1085" spans="2:2" x14ac:dyDescent="0.2">
      <c r="B1085" s="7"/>
    </row>
    <row r="1086" spans="2:2" x14ac:dyDescent="0.2">
      <c r="B1086" s="7"/>
    </row>
    <row r="1087" spans="2:2" x14ac:dyDescent="0.2">
      <c r="B1087" s="7"/>
    </row>
    <row r="1088" spans="2:2" x14ac:dyDescent="0.2">
      <c r="B1088" s="7"/>
    </row>
    <row r="1089" spans="2:2" x14ac:dyDescent="0.2">
      <c r="B1089" s="7"/>
    </row>
    <row r="1090" spans="2:2" x14ac:dyDescent="0.2">
      <c r="B1090" s="7"/>
    </row>
    <row r="1091" spans="2:2" x14ac:dyDescent="0.2">
      <c r="B1091" s="7"/>
    </row>
    <row r="1092" spans="2:2" x14ac:dyDescent="0.2">
      <c r="B1092" s="7"/>
    </row>
    <row r="1093" spans="2:2" x14ac:dyDescent="0.2">
      <c r="B1093" s="7"/>
    </row>
    <row r="1094" spans="2:2" x14ac:dyDescent="0.2">
      <c r="B1094" s="7"/>
    </row>
    <row r="1095" spans="2:2" x14ac:dyDescent="0.2">
      <c r="B1095" s="7"/>
    </row>
    <row r="1096" spans="2:2" x14ac:dyDescent="0.2">
      <c r="B1096" s="7"/>
    </row>
    <row r="1097" spans="2:2" x14ac:dyDescent="0.2">
      <c r="B1097" s="7"/>
    </row>
    <row r="1098" spans="2:2" x14ac:dyDescent="0.2">
      <c r="B1098" s="7"/>
    </row>
    <row r="1099" spans="2:2" x14ac:dyDescent="0.2">
      <c r="B1099" s="7"/>
    </row>
    <row r="1100" spans="2:2" x14ac:dyDescent="0.2">
      <c r="B1100" s="7"/>
    </row>
    <row r="1101" spans="2:2" x14ac:dyDescent="0.2">
      <c r="B1101" s="7"/>
    </row>
    <row r="1102" spans="2:2" x14ac:dyDescent="0.2">
      <c r="B1102" s="7"/>
    </row>
    <row r="1103" spans="2:2" x14ac:dyDescent="0.2">
      <c r="B1103" s="7"/>
    </row>
    <row r="1104" spans="2:2" x14ac:dyDescent="0.2">
      <c r="B1104" s="7"/>
    </row>
    <row r="1105" spans="2:2" x14ac:dyDescent="0.2">
      <c r="B1105" s="7"/>
    </row>
    <row r="1106" spans="2:2" x14ac:dyDescent="0.2">
      <c r="B1106" s="7"/>
    </row>
    <row r="1107" spans="2:2" x14ac:dyDescent="0.2">
      <c r="B1107" s="7"/>
    </row>
    <row r="1108" spans="2:2" x14ac:dyDescent="0.2">
      <c r="B1108" s="7"/>
    </row>
    <row r="1109" spans="2:2" x14ac:dyDescent="0.2">
      <c r="B1109" s="7"/>
    </row>
    <row r="1110" spans="2:2" x14ac:dyDescent="0.2">
      <c r="B1110" s="7"/>
    </row>
    <row r="1111" spans="2:2" x14ac:dyDescent="0.2">
      <c r="B1111" s="7"/>
    </row>
    <row r="1112" spans="2:2" x14ac:dyDescent="0.2">
      <c r="B1112" s="7"/>
    </row>
    <row r="1113" spans="2:2" x14ac:dyDescent="0.2">
      <c r="B1113" s="7"/>
    </row>
    <row r="1114" spans="2:2" x14ac:dyDescent="0.2">
      <c r="B1114" s="7"/>
    </row>
    <row r="1115" spans="2:2" x14ac:dyDescent="0.2">
      <c r="B1115" s="7"/>
    </row>
    <row r="1116" spans="2:2" x14ac:dyDescent="0.2">
      <c r="B1116" s="7"/>
    </row>
    <row r="1117" spans="2:2" x14ac:dyDescent="0.2">
      <c r="B1117" s="7"/>
    </row>
    <row r="1118" spans="2:2" x14ac:dyDescent="0.2">
      <c r="B1118" s="7"/>
    </row>
    <row r="1119" spans="2:2" x14ac:dyDescent="0.2">
      <c r="B1119" s="7"/>
    </row>
    <row r="1120" spans="2:2" x14ac:dyDescent="0.2">
      <c r="B1120" s="7"/>
    </row>
    <row r="1121" spans="2:2" x14ac:dyDescent="0.2">
      <c r="B1121" s="7"/>
    </row>
    <row r="1122" spans="2:2" x14ac:dyDescent="0.2">
      <c r="B1122" s="7"/>
    </row>
    <row r="1123" spans="2:2" x14ac:dyDescent="0.2">
      <c r="B1123" s="7"/>
    </row>
    <row r="1124" spans="2:2" x14ac:dyDescent="0.2">
      <c r="B1124" s="7"/>
    </row>
    <row r="1125" spans="2:2" x14ac:dyDescent="0.2">
      <c r="B1125" s="7"/>
    </row>
    <row r="1126" spans="2:2" x14ac:dyDescent="0.2">
      <c r="B1126" s="7"/>
    </row>
    <row r="1127" spans="2:2" x14ac:dyDescent="0.2">
      <c r="B1127" s="7"/>
    </row>
    <row r="1128" spans="2:2" x14ac:dyDescent="0.2">
      <c r="B1128" s="7"/>
    </row>
    <row r="1129" spans="2:2" x14ac:dyDescent="0.2">
      <c r="B1129" s="7"/>
    </row>
    <row r="1130" spans="2:2" x14ac:dyDescent="0.2">
      <c r="B1130" s="7"/>
    </row>
    <row r="1131" spans="2:2" x14ac:dyDescent="0.2">
      <c r="B1131" s="7"/>
    </row>
    <row r="1132" spans="2:2" x14ac:dyDescent="0.2">
      <c r="B1132" s="7"/>
    </row>
    <row r="1133" spans="2:2" x14ac:dyDescent="0.2">
      <c r="B1133" s="7"/>
    </row>
    <row r="1134" spans="2:2" x14ac:dyDescent="0.2">
      <c r="B1134" s="7"/>
    </row>
    <row r="1135" spans="2:2" x14ac:dyDescent="0.2">
      <c r="B1135" s="7"/>
    </row>
    <row r="1136" spans="2:2" x14ac:dyDescent="0.2">
      <c r="B1136" s="7"/>
    </row>
    <row r="1137" spans="2:2" x14ac:dyDescent="0.2">
      <c r="B1137" s="7"/>
    </row>
    <row r="1138" spans="2:2" x14ac:dyDescent="0.2">
      <c r="B1138" s="7"/>
    </row>
    <row r="1139" spans="2:2" x14ac:dyDescent="0.2">
      <c r="B1139" s="7"/>
    </row>
    <row r="1140" spans="2:2" x14ac:dyDescent="0.2">
      <c r="B1140" s="7"/>
    </row>
    <row r="1141" spans="2:2" x14ac:dyDescent="0.2">
      <c r="B1141" s="7"/>
    </row>
    <row r="1142" spans="2:2" x14ac:dyDescent="0.2">
      <c r="B1142" s="7"/>
    </row>
    <row r="1143" spans="2:2" x14ac:dyDescent="0.2">
      <c r="B1143" s="7"/>
    </row>
    <row r="1144" spans="2:2" x14ac:dyDescent="0.2">
      <c r="B1144" s="7"/>
    </row>
    <row r="1145" spans="2:2" x14ac:dyDescent="0.2">
      <c r="B1145" s="7"/>
    </row>
    <row r="1146" spans="2:2" x14ac:dyDescent="0.2">
      <c r="B1146" s="7"/>
    </row>
    <row r="1147" spans="2:2" x14ac:dyDescent="0.2">
      <c r="B1147" s="7"/>
    </row>
    <row r="1148" spans="2:2" x14ac:dyDescent="0.2">
      <c r="B1148" s="7"/>
    </row>
    <row r="1149" spans="2:2" x14ac:dyDescent="0.2">
      <c r="B1149" s="7"/>
    </row>
    <row r="1150" spans="2:2" x14ac:dyDescent="0.2">
      <c r="B1150" s="7"/>
    </row>
    <row r="1151" spans="2:2" x14ac:dyDescent="0.2">
      <c r="B1151" s="7"/>
    </row>
    <row r="1152" spans="2:2" x14ac:dyDescent="0.2">
      <c r="B1152" s="7"/>
    </row>
    <row r="1153" spans="2:2" x14ac:dyDescent="0.2">
      <c r="B1153" s="7"/>
    </row>
    <row r="1154" spans="2:2" x14ac:dyDescent="0.2">
      <c r="B1154" s="7"/>
    </row>
    <row r="1155" spans="2:2" x14ac:dyDescent="0.2">
      <c r="B1155" s="7"/>
    </row>
    <row r="1156" spans="2:2" x14ac:dyDescent="0.2">
      <c r="B1156" s="7"/>
    </row>
    <row r="1157" spans="2:2" x14ac:dyDescent="0.2">
      <c r="B1157" s="7"/>
    </row>
    <row r="1158" spans="2:2" x14ac:dyDescent="0.2">
      <c r="B1158" s="7"/>
    </row>
    <row r="1159" spans="2:2" x14ac:dyDescent="0.2">
      <c r="B1159" s="7"/>
    </row>
    <row r="1160" spans="2:2" x14ac:dyDescent="0.2">
      <c r="B1160" s="7"/>
    </row>
    <row r="1161" spans="2:2" x14ac:dyDescent="0.2">
      <c r="B1161" s="7"/>
    </row>
    <row r="1162" spans="2:2" x14ac:dyDescent="0.2">
      <c r="B1162" s="7"/>
    </row>
    <row r="1163" spans="2:2" x14ac:dyDescent="0.2">
      <c r="B1163" s="7"/>
    </row>
    <row r="1164" spans="2:2" x14ac:dyDescent="0.2">
      <c r="B1164" s="7"/>
    </row>
    <row r="1165" spans="2:2" x14ac:dyDescent="0.2">
      <c r="B1165" s="7"/>
    </row>
    <row r="1166" spans="2:2" x14ac:dyDescent="0.2">
      <c r="B1166" s="7"/>
    </row>
    <row r="1167" spans="2:2" x14ac:dyDescent="0.2">
      <c r="B1167" s="7"/>
    </row>
    <row r="1168" spans="2:2" x14ac:dyDescent="0.2">
      <c r="B1168" s="7"/>
    </row>
    <row r="1169" spans="2:2" x14ac:dyDescent="0.2">
      <c r="B1169" s="7"/>
    </row>
    <row r="1170" spans="2:2" x14ac:dyDescent="0.2">
      <c r="B1170" s="7"/>
    </row>
    <row r="1171" spans="2:2" x14ac:dyDescent="0.2">
      <c r="B1171" s="7"/>
    </row>
    <row r="1172" spans="2:2" x14ac:dyDescent="0.2">
      <c r="B1172" s="7"/>
    </row>
    <row r="1173" spans="2:2" x14ac:dyDescent="0.2">
      <c r="B1173" s="7"/>
    </row>
    <row r="1174" spans="2:2" x14ac:dyDescent="0.2">
      <c r="B1174" s="7"/>
    </row>
    <row r="1175" spans="2:2" x14ac:dyDescent="0.2">
      <c r="B1175" s="7"/>
    </row>
    <row r="1176" spans="2:2" x14ac:dyDescent="0.2">
      <c r="B1176" s="7"/>
    </row>
    <row r="1177" spans="2:2" x14ac:dyDescent="0.2">
      <c r="B1177" s="7"/>
    </row>
    <row r="1178" spans="2:2" x14ac:dyDescent="0.2">
      <c r="B1178" s="7"/>
    </row>
    <row r="1179" spans="2:2" x14ac:dyDescent="0.2">
      <c r="B1179" s="7"/>
    </row>
    <row r="1180" spans="2:2" x14ac:dyDescent="0.2">
      <c r="B1180" s="7"/>
    </row>
    <row r="1181" spans="2:2" x14ac:dyDescent="0.2">
      <c r="B1181" s="7"/>
    </row>
    <row r="1182" spans="2:2" x14ac:dyDescent="0.2">
      <c r="B1182" s="7"/>
    </row>
    <row r="1183" spans="2:2" x14ac:dyDescent="0.2">
      <c r="B1183" s="7"/>
    </row>
    <row r="1184" spans="2:2" x14ac:dyDescent="0.2">
      <c r="B1184" s="7"/>
    </row>
    <row r="1185" spans="2:2" x14ac:dyDescent="0.2">
      <c r="B1185" s="7"/>
    </row>
    <row r="1186" spans="2:2" x14ac:dyDescent="0.2">
      <c r="B1186" s="7"/>
    </row>
    <row r="1187" spans="2:2" x14ac:dyDescent="0.2">
      <c r="B1187" s="7"/>
    </row>
    <row r="1188" spans="2:2" x14ac:dyDescent="0.2">
      <c r="B1188" s="7"/>
    </row>
    <row r="1189" spans="2:2" x14ac:dyDescent="0.2">
      <c r="B1189" s="7"/>
    </row>
    <row r="1190" spans="2:2" x14ac:dyDescent="0.2">
      <c r="B1190" s="7"/>
    </row>
    <row r="1191" spans="2:2" x14ac:dyDescent="0.2">
      <c r="B1191" s="7"/>
    </row>
    <row r="1192" spans="2:2" x14ac:dyDescent="0.2">
      <c r="B1192" s="7"/>
    </row>
    <row r="1193" spans="2:2" x14ac:dyDescent="0.2">
      <c r="B1193" s="7"/>
    </row>
    <row r="1194" spans="2:2" x14ac:dyDescent="0.2">
      <c r="B1194" s="7"/>
    </row>
    <row r="1195" spans="2:2" x14ac:dyDescent="0.2">
      <c r="B1195" s="7"/>
    </row>
    <row r="1196" spans="2:2" x14ac:dyDescent="0.2">
      <c r="B1196" s="7"/>
    </row>
    <row r="1197" spans="2:2" x14ac:dyDescent="0.2">
      <c r="B1197" s="7"/>
    </row>
    <row r="1198" spans="2:2" x14ac:dyDescent="0.2">
      <c r="B1198" s="7"/>
    </row>
    <row r="1199" spans="2:2" x14ac:dyDescent="0.2">
      <c r="B1199" s="7"/>
    </row>
    <row r="1200" spans="2:2" x14ac:dyDescent="0.2">
      <c r="B1200" s="7"/>
    </row>
    <row r="1201" spans="2:2" x14ac:dyDescent="0.2">
      <c r="B1201" s="7"/>
    </row>
    <row r="1202" spans="2:2" x14ac:dyDescent="0.2">
      <c r="B1202" s="7"/>
    </row>
    <row r="1203" spans="2:2" x14ac:dyDescent="0.2">
      <c r="B1203" s="7"/>
    </row>
    <row r="1204" spans="2:2" x14ac:dyDescent="0.2">
      <c r="B1204" s="7"/>
    </row>
    <row r="1205" spans="2:2" x14ac:dyDescent="0.2">
      <c r="B1205" s="7"/>
    </row>
    <row r="1206" spans="2:2" x14ac:dyDescent="0.2">
      <c r="B1206" s="7"/>
    </row>
    <row r="1207" spans="2:2" x14ac:dyDescent="0.2">
      <c r="B1207" s="7"/>
    </row>
    <row r="1208" spans="2:2" x14ac:dyDescent="0.2">
      <c r="B1208" s="7"/>
    </row>
    <row r="1209" spans="2:2" x14ac:dyDescent="0.2">
      <c r="B1209" s="7"/>
    </row>
    <row r="1210" spans="2:2" x14ac:dyDescent="0.2">
      <c r="B1210" s="7"/>
    </row>
    <row r="1211" spans="2:2" x14ac:dyDescent="0.2">
      <c r="B1211" s="7"/>
    </row>
    <row r="1212" spans="2:2" x14ac:dyDescent="0.2">
      <c r="B1212" s="7"/>
    </row>
    <row r="1213" spans="2:2" x14ac:dyDescent="0.2">
      <c r="B1213" s="7"/>
    </row>
    <row r="1214" spans="2:2" x14ac:dyDescent="0.2">
      <c r="B1214" s="7"/>
    </row>
    <row r="1215" spans="2:2" x14ac:dyDescent="0.2">
      <c r="B1215" s="7"/>
    </row>
    <row r="1216" spans="2:2" x14ac:dyDescent="0.2">
      <c r="B1216" s="7"/>
    </row>
    <row r="1217" spans="2:2" x14ac:dyDescent="0.2">
      <c r="B1217" s="7"/>
    </row>
    <row r="1218" spans="2:2" x14ac:dyDescent="0.2">
      <c r="B1218" s="7"/>
    </row>
    <row r="1219" spans="2:2" x14ac:dyDescent="0.2">
      <c r="B1219" s="7"/>
    </row>
    <row r="1220" spans="2:2" x14ac:dyDescent="0.2">
      <c r="B1220" s="7"/>
    </row>
    <row r="1221" spans="2:2" x14ac:dyDescent="0.2">
      <c r="B1221" s="7"/>
    </row>
    <row r="1222" spans="2:2" x14ac:dyDescent="0.2">
      <c r="B1222" s="7"/>
    </row>
    <row r="1223" spans="2:2" x14ac:dyDescent="0.2">
      <c r="B1223" s="7"/>
    </row>
    <row r="1224" spans="2:2" x14ac:dyDescent="0.2">
      <c r="B1224" s="7"/>
    </row>
    <row r="1225" spans="2:2" x14ac:dyDescent="0.2">
      <c r="B1225" s="7"/>
    </row>
    <row r="1226" spans="2:2" x14ac:dyDescent="0.2">
      <c r="B1226" s="7"/>
    </row>
    <row r="1227" spans="2:2" x14ac:dyDescent="0.2">
      <c r="B1227" s="7"/>
    </row>
    <row r="1228" spans="2:2" x14ac:dyDescent="0.2">
      <c r="B1228" s="7"/>
    </row>
    <row r="1229" spans="2:2" x14ac:dyDescent="0.2">
      <c r="B1229" s="7"/>
    </row>
    <row r="1230" spans="2:2" x14ac:dyDescent="0.2">
      <c r="B1230" s="7"/>
    </row>
    <row r="1231" spans="2:2" x14ac:dyDescent="0.2">
      <c r="B1231" s="7"/>
    </row>
    <row r="1232" spans="2:2" x14ac:dyDescent="0.2">
      <c r="B1232" s="7"/>
    </row>
    <row r="1233" spans="2:2" x14ac:dyDescent="0.2">
      <c r="B1233" s="7"/>
    </row>
    <row r="1234" spans="2:2" x14ac:dyDescent="0.2">
      <c r="B1234" s="7"/>
    </row>
    <row r="1235" spans="2:2" x14ac:dyDescent="0.2">
      <c r="B1235" s="7"/>
    </row>
    <row r="1236" spans="2:2" x14ac:dyDescent="0.2">
      <c r="B1236" s="7"/>
    </row>
    <row r="1237" spans="2:2" x14ac:dyDescent="0.2">
      <c r="B1237" s="7"/>
    </row>
    <row r="1238" spans="2:2" x14ac:dyDescent="0.2">
      <c r="B1238" s="7"/>
    </row>
    <row r="1239" spans="2:2" x14ac:dyDescent="0.2">
      <c r="B1239" s="7"/>
    </row>
    <row r="1240" spans="2:2" x14ac:dyDescent="0.2">
      <c r="B1240" s="7"/>
    </row>
    <row r="1241" spans="2:2" x14ac:dyDescent="0.2">
      <c r="B1241" s="7"/>
    </row>
    <row r="1242" spans="2:2" x14ac:dyDescent="0.2">
      <c r="B1242" s="7"/>
    </row>
    <row r="1243" spans="2:2" x14ac:dyDescent="0.2">
      <c r="B1243" s="7"/>
    </row>
    <row r="1244" spans="2:2" x14ac:dyDescent="0.2">
      <c r="B1244" s="7"/>
    </row>
    <row r="1245" spans="2:2" x14ac:dyDescent="0.2">
      <c r="B1245" s="7"/>
    </row>
    <row r="1246" spans="2:2" x14ac:dyDescent="0.2">
      <c r="B1246" s="7"/>
    </row>
    <row r="1247" spans="2:2" x14ac:dyDescent="0.2">
      <c r="B1247" s="7"/>
    </row>
    <row r="1248" spans="2:2" x14ac:dyDescent="0.2">
      <c r="B1248" s="7"/>
    </row>
    <row r="1249" spans="2:2" x14ac:dyDescent="0.2">
      <c r="B1249" s="7"/>
    </row>
    <row r="1250" spans="2:2" x14ac:dyDescent="0.2">
      <c r="B1250" s="7"/>
    </row>
    <row r="1251" spans="2:2" x14ac:dyDescent="0.2">
      <c r="B1251" s="7"/>
    </row>
    <row r="1252" spans="2:2" x14ac:dyDescent="0.2">
      <c r="B1252" s="7"/>
    </row>
    <row r="1253" spans="2:2" x14ac:dyDescent="0.2">
      <c r="B1253" s="7"/>
    </row>
    <row r="1254" spans="2:2" x14ac:dyDescent="0.2">
      <c r="B1254" s="7"/>
    </row>
    <row r="1255" spans="2:2" x14ac:dyDescent="0.2">
      <c r="B1255" s="7"/>
    </row>
    <row r="1256" spans="2:2" x14ac:dyDescent="0.2">
      <c r="B1256" s="7"/>
    </row>
    <row r="1257" spans="2:2" x14ac:dyDescent="0.2">
      <c r="B1257" s="7"/>
    </row>
    <row r="1258" spans="2:2" x14ac:dyDescent="0.2">
      <c r="B1258" s="7"/>
    </row>
    <row r="1259" spans="2:2" x14ac:dyDescent="0.2">
      <c r="B1259" s="7"/>
    </row>
    <row r="1260" spans="2:2" x14ac:dyDescent="0.2">
      <c r="B1260" s="7"/>
    </row>
    <row r="1261" spans="2:2" x14ac:dyDescent="0.2">
      <c r="B1261" s="7"/>
    </row>
    <row r="1262" spans="2:2" x14ac:dyDescent="0.2">
      <c r="B1262" s="7"/>
    </row>
    <row r="1263" spans="2:2" x14ac:dyDescent="0.2">
      <c r="B1263" s="7"/>
    </row>
    <row r="1264" spans="2:2" x14ac:dyDescent="0.2">
      <c r="B1264" s="7"/>
    </row>
    <row r="1265" spans="2:2" x14ac:dyDescent="0.2">
      <c r="B1265" s="7"/>
    </row>
    <row r="1266" spans="2:2" x14ac:dyDescent="0.2">
      <c r="B1266" s="7"/>
    </row>
    <row r="1267" spans="2:2" x14ac:dyDescent="0.2">
      <c r="B1267" s="7"/>
    </row>
    <row r="1268" spans="2:2" x14ac:dyDescent="0.2">
      <c r="B1268" s="7"/>
    </row>
    <row r="1269" spans="2:2" x14ac:dyDescent="0.2">
      <c r="B1269" s="7"/>
    </row>
    <row r="1270" spans="2:2" x14ac:dyDescent="0.2">
      <c r="B1270" s="7"/>
    </row>
    <row r="1271" spans="2:2" x14ac:dyDescent="0.2">
      <c r="B1271" s="7"/>
    </row>
    <row r="1272" spans="2:2" x14ac:dyDescent="0.2">
      <c r="B1272" s="7"/>
    </row>
    <row r="1273" spans="2:2" x14ac:dyDescent="0.2">
      <c r="B1273" s="7"/>
    </row>
    <row r="1274" spans="2:2" x14ac:dyDescent="0.2">
      <c r="B1274" s="7"/>
    </row>
    <row r="1275" spans="2:2" x14ac:dyDescent="0.2">
      <c r="B1275" s="7"/>
    </row>
    <row r="1276" spans="2:2" x14ac:dyDescent="0.2">
      <c r="B1276" s="7"/>
    </row>
    <row r="1277" spans="2:2" x14ac:dyDescent="0.2">
      <c r="B1277" s="7"/>
    </row>
    <row r="1278" spans="2:2" x14ac:dyDescent="0.2">
      <c r="B1278" s="7"/>
    </row>
    <row r="1279" spans="2:2" x14ac:dyDescent="0.2">
      <c r="B1279" s="7"/>
    </row>
    <row r="1280" spans="2:2" x14ac:dyDescent="0.2">
      <c r="B1280" s="7"/>
    </row>
    <row r="1281" spans="2:2" x14ac:dyDescent="0.2">
      <c r="B1281" s="7"/>
    </row>
    <row r="1282" spans="2:2" x14ac:dyDescent="0.2">
      <c r="B1282" s="7"/>
    </row>
    <row r="1283" spans="2:2" x14ac:dyDescent="0.2">
      <c r="B1283" s="7"/>
    </row>
    <row r="1284" spans="2:2" x14ac:dyDescent="0.2">
      <c r="B1284" s="7"/>
    </row>
    <row r="1285" spans="2:2" x14ac:dyDescent="0.2">
      <c r="B1285" s="7"/>
    </row>
    <row r="1286" spans="2:2" x14ac:dyDescent="0.2">
      <c r="B1286" s="7"/>
    </row>
    <row r="1287" spans="2:2" x14ac:dyDescent="0.2">
      <c r="B1287" s="7"/>
    </row>
    <row r="1288" spans="2:2" x14ac:dyDescent="0.2">
      <c r="B1288" s="7"/>
    </row>
    <row r="1289" spans="2:2" x14ac:dyDescent="0.2">
      <c r="B1289" s="7"/>
    </row>
    <row r="1290" spans="2:2" x14ac:dyDescent="0.2">
      <c r="B1290" s="7"/>
    </row>
    <row r="1291" spans="2:2" x14ac:dyDescent="0.2">
      <c r="B1291" s="7"/>
    </row>
    <row r="1292" spans="2:2" x14ac:dyDescent="0.2">
      <c r="B1292" s="7"/>
    </row>
    <row r="1293" spans="2:2" x14ac:dyDescent="0.2">
      <c r="B1293" s="7"/>
    </row>
    <row r="1294" spans="2:2" x14ac:dyDescent="0.2">
      <c r="B1294" s="7"/>
    </row>
    <row r="1295" spans="2:2" x14ac:dyDescent="0.2">
      <c r="B1295" s="7"/>
    </row>
    <row r="1296" spans="2:2" x14ac:dyDescent="0.2">
      <c r="B1296" s="7"/>
    </row>
    <row r="1297" spans="2:2" x14ac:dyDescent="0.2">
      <c r="B1297" s="7"/>
    </row>
    <row r="1298" spans="2:2" x14ac:dyDescent="0.2">
      <c r="B1298" s="7"/>
    </row>
    <row r="1299" spans="2:2" x14ac:dyDescent="0.2">
      <c r="B1299" s="7"/>
    </row>
    <row r="1300" spans="2:2" x14ac:dyDescent="0.2">
      <c r="B1300" s="7"/>
    </row>
    <row r="1301" spans="2:2" x14ac:dyDescent="0.2">
      <c r="B1301" s="7"/>
    </row>
    <row r="1302" spans="2:2" x14ac:dyDescent="0.2">
      <c r="B1302" s="7"/>
    </row>
    <row r="1303" spans="2:2" x14ac:dyDescent="0.2">
      <c r="B1303" s="7"/>
    </row>
    <row r="1304" spans="2:2" x14ac:dyDescent="0.2">
      <c r="B1304" s="7"/>
    </row>
    <row r="1305" spans="2:2" x14ac:dyDescent="0.2">
      <c r="B1305" s="7"/>
    </row>
    <row r="1306" spans="2:2" x14ac:dyDescent="0.2">
      <c r="B1306" s="7"/>
    </row>
    <row r="1307" spans="2:2" x14ac:dyDescent="0.2">
      <c r="B1307" s="7"/>
    </row>
    <row r="1308" spans="2:2" x14ac:dyDescent="0.2">
      <c r="B1308" s="7"/>
    </row>
    <row r="1309" spans="2:2" x14ac:dyDescent="0.2">
      <c r="B1309" s="7"/>
    </row>
    <row r="1310" spans="2:2" x14ac:dyDescent="0.2">
      <c r="B1310" s="7"/>
    </row>
    <row r="1311" spans="2:2" x14ac:dyDescent="0.2">
      <c r="B1311" s="7"/>
    </row>
    <row r="1312" spans="2:2" x14ac:dyDescent="0.2">
      <c r="B1312" s="7"/>
    </row>
    <row r="1313" spans="2:2" x14ac:dyDescent="0.2">
      <c r="B1313" s="7"/>
    </row>
    <row r="1314" spans="2:2" x14ac:dyDescent="0.2">
      <c r="B1314" s="7"/>
    </row>
    <row r="1315" spans="2:2" x14ac:dyDescent="0.2">
      <c r="B1315" s="7"/>
    </row>
    <row r="1316" spans="2:2" x14ac:dyDescent="0.2">
      <c r="B1316" s="7"/>
    </row>
    <row r="1317" spans="2:2" x14ac:dyDescent="0.2">
      <c r="B1317" s="7"/>
    </row>
    <row r="1318" spans="2:2" x14ac:dyDescent="0.2">
      <c r="B1318" s="7"/>
    </row>
    <row r="1319" spans="2:2" x14ac:dyDescent="0.2">
      <c r="B1319" s="7"/>
    </row>
    <row r="1320" spans="2:2" x14ac:dyDescent="0.2">
      <c r="B1320" s="7"/>
    </row>
    <row r="1321" spans="2:2" x14ac:dyDescent="0.2">
      <c r="B1321" s="7"/>
    </row>
    <row r="1322" spans="2:2" x14ac:dyDescent="0.2">
      <c r="B1322" s="7"/>
    </row>
    <row r="1323" spans="2:2" x14ac:dyDescent="0.2">
      <c r="B1323" s="7"/>
    </row>
    <row r="1324" spans="2:2" x14ac:dyDescent="0.2">
      <c r="B1324" s="7"/>
    </row>
    <row r="1325" spans="2:2" x14ac:dyDescent="0.2">
      <c r="B1325" s="7"/>
    </row>
    <row r="1326" spans="2:2" x14ac:dyDescent="0.2">
      <c r="B1326" s="7"/>
    </row>
    <row r="1327" spans="2:2" x14ac:dyDescent="0.2">
      <c r="B1327" s="7"/>
    </row>
    <row r="1328" spans="2:2" x14ac:dyDescent="0.2">
      <c r="B1328" s="7"/>
    </row>
    <row r="1329" spans="2:2" x14ac:dyDescent="0.2">
      <c r="B1329" s="7"/>
    </row>
    <row r="1330" spans="2:2" x14ac:dyDescent="0.2">
      <c r="B1330" s="7"/>
    </row>
    <row r="1331" spans="2:2" x14ac:dyDescent="0.2">
      <c r="B1331" s="7"/>
    </row>
    <row r="1332" spans="2:2" x14ac:dyDescent="0.2">
      <c r="B1332" s="7"/>
    </row>
    <row r="1333" spans="2:2" x14ac:dyDescent="0.2">
      <c r="B1333" s="7"/>
    </row>
    <row r="1334" spans="2:2" x14ac:dyDescent="0.2">
      <c r="B1334" s="7"/>
    </row>
    <row r="1335" spans="2:2" x14ac:dyDescent="0.2">
      <c r="B1335" s="7"/>
    </row>
    <row r="1336" spans="2:2" x14ac:dyDescent="0.2">
      <c r="B1336" s="7"/>
    </row>
    <row r="1337" spans="2:2" x14ac:dyDescent="0.2">
      <c r="B1337" s="7"/>
    </row>
    <row r="1338" spans="2:2" x14ac:dyDescent="0.2">
      <c r="B1338" s="7"/>
    </row>
    <row r="1339" spans="2:2" x14ac:dyDescent="0.2">
      <c r="B1339" s="7"/>
    </row>
    <row r="1340" spans="2:2" x14ac:dyDescent="0.2">
      <c r="B1340" s="7"/>
    </row>
    <row r="1341" spans="2:2" x14ac:dyDescent="0.2">
      <c r="B1341" s="7"/>
    </row>
    <row r="1342" spans="2:2" x14ac:dyDescent="0.2">
      <c r="B1342" s="7"/>
    </row>
    <row r="1343" spans="2:2" x14ac:dyDescent="0.2">
      <c r="B1343" s="7"/>
    </row>
    <row r="1344" spans="2:2" x14ac:dyDescent="0.2">
      <c r="B1344" s="7"/>
    </row>
    <row r="1345" spans="2:2" x14ac:dyDescent="0.2">
      <c r="B1345" s="7"/>
    </row>
    <row r="1346" spans="2:2" x14ac:dyDescent="0.2">
      <c r="B1346" s="7"/>
    </row>
    <row r="1347" spans="2:2" x14ac:dyDescent="0.2">
      <c r="B1347" s="7"/>
    </row>
    <row r="1348" spans="2:2" x14ac:dyDescent="0.2">
      <c r="B1348" s="7"/>
    </row>
    <row r="1349" spans="2:2" x14ac:dyDescent="0.2">
      <c r="B1349" s="7"/>
    </row>
    <row r="1350" spans="2:2" x14ac:dyDescent="0.2">
      <c r="B1350" s="7"/>
    </row>
    <row r="1351" spans="2:2" x14ac:dyDescent="0.2">
      <c r="B1351" s="7"/>
    </row>
    <row r="1352" spans="2:2" x14ac:dyDescent="0.2">
      <c r="B1352" s="7"/>
    </row>
    <row r="1353" spans="2:2" x14ac:dyDescent="0.2">
      <c r="B1353" s="7"/>
    </row>
    <row r="1354" spans="2:2" x14ac:dyDescent="0.2">
      <c r="B1354" s="7"/>
    </row>
    <row r="1355" spans="2:2" x14ac:dyDescent="0.2">
      <c r="B1355" s="7"/>
    </row>
    <row r="1356" spans="2:2" x14ac:dyDescent="0.2">
      <c r="B1356" s="7"/>
    </row>
    <row r="1357" spans="2:2" x14ac:dyDescent="0.2">
      <c r="B1357" s="7"/>
    </row>
    <row r="1358" spans="2:2" x14ac:dyDescent="0.2">
      <c r="B1358" s="7"/>
    </row>
    <row r="1359" spans="2:2" x14ac:dyDescent="0.2">
      <c r="B1359" s="7"/>
    </row>
    <row r="1360" spans="2:2" x14ac:dyDescent="0.2">
      <c r="B1360" s="7"/>
    </row>
    <row r="1361" spans="2:2" x14ac:dyDescent="0.2">
      <c r="B1361" s="7"/>
    </row>
    <row r="1362" spans="2:2" x14ac:dyDescent="0.2">
      <c r="B1362" s="7"/>
    </row>
    <row r="1363" spans="2:2" x14ac:dyDescent="0.2">
      <c r="B1363" s="7"/>
    </row>
    <row r="1364" spans="2:2" x14ac:dyDescent="0.2">
      <c r="B1364" s="7"/>
    </row>
    <row r="1365" spans="2:2" x14ac:dyDescent="0.2">
      <c r="B1365" s="7"/>
    </row>
    <row r="1366" spans="2:2" x14ac:dyDescent="0.2">
      <c r="B1366" s="7"/>
    </row>
    <row r="1367" spans="2:2" x14ac:dyDescent="0.2">
      <c r="B1367" s="7"/>
    </row>
    <row r="1368" spans="2:2" x14ac:dyDescent="0.2">
      <c r="B1368" s="7"/>
    </row>
    <row r="1369" spans="2:2" x14ac:dyDescent="0.2">
      <c r="B1369" s="7"/>
    </row>
    <row r="1370" spans="2:2" x14ac:dyDescent="0.2">
      <c r="B1370" s="7"/>
    </row>
    <row r="1371" spans="2:2" x14ac:dyDescent="0.2">
      <c r="B1371" s="7"/>
    </row>
    <row r="1372" spans="2:2" x14ac:dyDescent="0.2">
      <c r="B1372" s="7"/>
    </row>
    <row r="1373" spans="2:2" x14ac:dyDescent="0.2">
      <c r="B1373" s="7"/>
    </row>
    <row r="1374" spans="2:2" x14ac:dyDescent="0.2">
      <c r="B1374" s="7"/>
    </row>
    <row r="1375" spans="2:2" x14ac:dyDescent="0.2">
      <c r="B1375" s="7"/>
    </row>
    <row r="1376" spans="2:2" x14ac:dyDescent="0.2">
      <c r="B1376" s="7"/>
    </row>
    <row r="1377" spans="2:2" x14ac:dyDescent="0.2">
      <c r="B1377" s="7"/>
    </row>
    <row r="1378" spans="2:2" x14ac:dyDescent="0.2">
      <c r="B1378" s="7"/>
    </row>
    <row r="1379" spans="2:2" x14ac:dyDescent="0.2">
      <c r="B1379" s="7"/>
    </row>
    <row r="1380" spans="2:2" x14ac:dyDescent="0.2">
      <c r="B1380" s="7"/>
    </row>
    <row r="1381" spans="2:2" x14ac:dyDescent="0.2">
      <c r="B1381" s="7"/>
    </row>
    <row r="1382" spans="2:2" x14ac:dyDescent="0.2">
      <c r="B1382" s="7"/>
    </row>
    <row r="1383" spans="2:2" x14ac:dyDescent="0.2">
      <c r="B1383" s="7"/>
    </row>
    <row r="1384" spans="2:2" x14ac:dyDescent="0.2">
      <c r="B1384" s="7"/>
    </row>
    <row r="1385" spans="2:2" x14ac:dyDescent="0.2">
      <c r="B1385" s="7"/>
    </row>
    <row r="1386" spans="2:2" x14ac:dyDescent="0.2">
      <c r="B1386" s="7"/>
    </row>
    <row r="1387" spans="2:2" x14ac:dyDescent="0.2">
      <c r="B1387" s="7"/>
    </row>
    <row r="1388" spans="2:2" x14ac:dyDescent="0.2">
      <c r="B1388" s="7"/>
    </row>
    <row r="1389" spans="2:2" x14ac:dyDescent="0.2">
      <c r="B1389" s="7"/>
    </row>
    <row r="1390" spans="2:2" x14ac:dyDescent="0.2">
      <c r="B1390" s="7"/>
    </row>
    <row r="1391" spans="2:2" x14ac:dyDescent="0.2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workbookViewId="0">
      <selection activeCell="D5" sqref="D5"/>
    </sheetView>
  </sheetViews>
  <sheetFormatPr defaultRowHeight="12.75" x14ac:dyDescent="0.2"/>
  <cols>
    <col min="1" max="1" width="5.85546875" style="14" bestFit="1" customWidth="1"/>
    <col min="2" max="2" width="12.140625" customWidth="1"/>
    <col min="3" max="3" width="14.5703125" customWidth="1"/>
    <col min="4" max="4" width="17.42578125" customWidth="1"/>
    <col min="5" max="5" width="12.140625" customWidth="1"/>
    <col min="6" max="6" width="17.7109375" customWidth="1"/>
    <col min="7" max="7" width="9.5703125" customWidth="1"/>
    <col min="8" max="8" width="17.42578125" customWidth="1"/>
    <col min="12" max="12" width="10" bestFit="1" customWidth="1"/>
  </cols>
  <sheetData>
    <row r="1" spans="1:8" x14ac:dyDescent="0.2">
      <c r="C1" s="4" t="s">
        <v>105</v>
      </c>
    </row>
    <row r="2" spans="1:8" x14ac:dyDescent="0.2">
      <c r="C2" s="4" t="s">
        <v>106</v>
      </c>
    </row>
    <row r="3" spans="1:8" x14ac:dyDescent="0.2">
      <c r="C3" s="4"/>
    </row>
    <row r="4" spans="1:8" x14ac:dyDescent="0.2">
      <c r="B4" s="12" t="s">
        <v>82</v>
      </c>
      <c r="C4" s="4"/>
      <c r="D4" s="99">
        <f>B61</f>
        <v>45562</v>
      </c>
    </row>
    <row r="5" spans="1:8" x14ac:dyDescent="0.2">
      <c r="C5" s="4"/>
    </row>
    <row r="6" spans="1:8" ht="13.5" thickBot="1" x14ac:dyDescent="0.25"/>
    <row r="7" spans="1:8" x14ac:dyDescent="0.2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5" thickBot="1" x14ac:dyDescent="0.25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5" x14ac:dyDescent="0.25">
      <c r="A10" s="14">
        <v>1</v>
      </c>
      <c r="B10" s="100">
        <v>45205</v>
      </c>
      <c r="C10" s="1">
        <v>790</v>
      </c>
      <c r="D10" s="86">
        <f>C10</f>
        <v>790</v>
      </c>
      <c r="E10" s="1">
        <v>76448</v>
      </c>
      <c r="F10" s="3">
        <f>E10</f>
        <v>76448</v>
      </c>
      <c r="G10" s="6">
        <f>C10-E10</f>
        <v>-75658</v>
      </c>
      <c r="H10" s="2">
        <f>G10</f>
        <v>-75658</v>
      </c>
    </row>
    <row r="11" spans="1:8" ht="15" x14ac:dyDescent="0.25">
      <c r="A11" s="14">
        <v>2</v>
      </c>
      <c r="B11" s="101">
        <f t="shared" ref="B11:B61" si="0">B10+7</f>
        <v>45212</v>
      </c>
      <c r="C11" s="1">
        <v>1003</v>
      </c>
      <c r="D11" s="86">
        <f>D10+C11</f>
        <v>1793</v>
      </c>
      <c r="E11" s="1">
        <v>70574</v>
      </c>
      <c r="F11" s="3">
        <f>F10+E11</f>
        <v>147022</v>
      </c>
      <c r="G11" s="6">
        <f t="shared" ref="G11:G61" si="1">C11-E11</f>
        <v>-69571</v>
      </c>
      <c r="H11" s="2">
        <f>G10+H10</f>
        <v>-151316</v>
      </c>
    </row>
    <row r="12" spans="1:8" ht="15" x14ac:dyDescent="0.25">
      <c r="A12" s="14">
        <v>3</v>
      </c>
      <c r="B12" s="101">
        <f t="shared" si="0"/>
        <v>45219</v>
      </c>
      <c r="C12" s="1">
        <v>715</v>
      </c>
      <c r="D12" s="86">
        <f t="shared" ref="D12:D61" si="2">D11+C12</f>
        <v>2508</v>
      </c>
      <c r="E12" s="1">
        <v>65653</v>
      </c>
      <c r="F12" s="3">
        <f t="shared" ref="F12:F61" si="3">F11+E12</f>
        <v>212675</v>
      </c>
      <c r="G12" s="6">
        <f t="shared" si="1"/>
        <v>-64938</v>
      </c>
      <c r="H12" s="2">
        <f t="shared" ref="H12:H61" si="4">G11+H11</f>
        <v>-220887</v>
      </c>
    </row>
    <row r="13" spans="1:8" ht="15" x14ac:dyDescent="0.25">
      <c r="A13" s="14">
        <v>4</v>
      </c>
      <c r="B13" s="101">
        <f t="shared" si="0"/>
        <v>45226</v>
      </c>
      <c r="C13" s="1">
        <v>1827</v>
      </c>
      <c r="D13" s="86">
        <f t="shared" si="2"/>
        <v>4335</v>
      </c>
      <c r="E13" s="1">
        <v>48314</v>
      </c>
      <c r="F13" s="3">
        <f t="shared" si="3"/>
        <v>260989</v>
      </c>
      <c r="G13" s="6">
        <f t="shared" si="1"/>
        <v>-46487</v>
      </c>
      <c r="H13" s="2">
        <f t="shared" si="4"/>
        <v>-285825</v>
      </c>
    </row>
    <row r="14" spans="1:8" ht="15" x14ac:dyDescent="0.25">
      <c r="A14" s="14">
        <v>5</v>
      </c>
      <c r="B14" s="101">
        <f t="shared" si="0"/>
        <v>45233</v>
      </c>
      <c r="C14" s="1">
        <v>3167</v>
      </c>
      <c r="D14" s="86">
        <f t="shared" si="2"/>
        <v>7502</v>
      </c>
      <c r="E14" s="1">
        <v>54778</v>
      </c>
      <c r="F14" s="3">
        <f t="shared" si="3"/>
        <v>315767</v>
      </c>
      <c r="G14" s="6">
        <f t="shared" si="1"/>
        <v>-51611</v>
      </c>
      <c r="H14" s="2">
        <f t="shared" si="4"/>
        <v>-332312</v>
      </c>
    </row>
    <row r="15" spans="1:8" ht="15" x14ac:dyDescent="0.25">
      <c r="A15" s="14">
        <v>6</v>
      </c>
      <c r="B15" s="101">
        <f t="shared" si="0"/>
        <v>45240</v>
      </c>
      <c r="C15" s="1">
        <v>2108</v>
      </c>
      <c r="D15" s="86">
        <f t="shared" si="2"/>
        <v>9610</v>
      </c>
      <c r="E15" s="1">
        <v>23993</v>
      </c>
      <c r="F15" s="3">
        <f t="shared" si="3"/>
        <v>339760</v>
      </c>
      <c r="G15" s="6">
        <f t="shared" si="1"/>
        <v>-21885</v>
      </c>
      <c r="H15" s="2">
        <f t="shared" si="4"/>
        <v>-383923</v>
      </c>
    </row>
    <row r="16" spans="1:8" ht="15" x14ac:dyDescent="0.25">
      <c r="A16" s="14">
        <v>7</v>
      </c>
      <c r="B16" s="101">
        <f t="shared" si="0"/>
        <v>45247</v>
      </c>
      <c r="C16" s="1">
        <v>3382</v>
      </c>
      <c r="D16" s="86">
        <f t="shared" si="2"/>
        <v>12992</v>
      </c>
      <c r="E16" s="1">
        <v>34196</v>
      </c>
      <c r="F16" s="3">
        <f t="shared" si="3"/>
        <v>373956</v>
      </c>
      <c r="G16" s="6">
        <f t="shared" si="1"/>
        <v>-30814</v>
      </c>
      <c r="H16" s="2">
        <f t="shared" si="4"/>
        <v>-405808</v>
      </c>
    </row>
    <row r="17" spans="1:14" ht="15" x14ac:dyDescent="0.25">
      <c r="A17" s="14">
        <v>8</v>
      </c>
      <c r="B17" s="101">
        <f t="shared" si="0"/>
        <v>45254</v>
      </c>
      <c r="C17" s="1">
        <v>2201</v>
      </c>
      <c r="D17" s="86">
        <f t="shared" si="2"/>
        <v>15193</v>
      </c>
      <c r="E17" s="1">
        <v>66565</v>
      </c>
      <c r="F17" s="3">
        <f t="shared" si="3"/>
        <v>440521</v>
      </c>
      <c r="G17" s="6">
        <f t="shared" si="1"/>
        <v>-64364</v>
      </c>
      <c r="H17" s="2">
        <f t="shared" si="4"/>
        <v>-436622</v>
      </c>
    </row>
    <row r="18" spans="1:14" ht="15" x14ac:dyDescent="0.25">
      <c r="A18" s="14">
        <v>9</v>
      </c>
      <c r="B18" s="101">
        <f t="shared" si="0"/>
        <v>45261</v>
      </c>
      <c r="C18" s="1">
        <v>1200</v>
      </c>
      <c r="D18" s="86">
        <f t="shared" si="2"/>
        <v>16393</v>
      </c>
      <c r="E18" s="1">
        <v>37505</v>
      </c>
      <c r="F18" s="3">
        <f t="shared" si="3"/>
        <v>478026</v>
      </c>
      <c r="G18" s="6">
        <f t="shared" si="1"/>
        <v>-36305</v>
      </c>
      <c r="H18" s="2">
        <f t="shared" si="4"/>
        <v>-500986</v>
      </c>
    </row>
    <row r="19" spans="1:14" ht="15" x14ac:dyDescent="0.25">
      <c r="A19" s="14">
        <v>10</v>
      </c>
      <c r="B19" s="101">
        <f t="shared" si="0"/>
        <v>45268</v>
      </c>
      <c r="C19" s="1">
        <v>3948</v>
      </c>
      <c r="D19" s="86">
        <f t="shared" si="2"/>
        <v>20341</v>
      </c>
      <c r="E19" s="1">
        <v>58656</v>
      </c>
      <c r="F19" s="3">
        <f t="shared" si="3"/>
        <v>536682</v>
      </c>
      <c r="G19" s="6">
        <f t="shared" si="1"/>
        <v>-54708</v>
      </c>
      <c r="H19" s="2">
        <f t="shared" si="4"/>
        <v>-537291</v>
      </c>
    </row>
    <row r="20" spans="1:14" ht="15" x14ac:dyDescent="0.25">
      <c r="A20" s="14">
        <v>11</v>
      </c>
      <c r="B20" s="101">
        <f t="shared" si="0"/>
        <v>45275</v>
      </c>
      <c r="C20" s="1">
        <v>4834</v>
      </c>
      <c r="D20" s="86">
        <f t="shared" si="2"/>
        <v>25175</v>
      </c>
      <c r="E20" s="1">
        <v>29519</v>
      </c>
      <c r="F20" s="3">
        <f t="shared" si="3"/>
        <v>566201</v>
      </c>
      <c r="G20" s="6">
        <f t="shared" si="1"/>
        <v>-24685</v>
      </c>
      <c r="H20" s="2">
        <f t="shared" si="4"/>
        <v>-591999</v>
      </c>
    </row>
    <row r="21" spans="1:14" ht="15" x14ac:dyDescent="0.25">
      <c r="A21" s="14">
        <v>12</v>
      </c>
      <c r="B21" s="101">
        <f t="shared" si="0"/>
        <v>45282</v>
      </c>
      <c r="C21" s="1">
        <v>3618</v>
      </c>
      <c r="D21" s="86">
        <f t="shared" si="2"/>
        <v>28793</v>
      </c>
      <c r="E21" s="1">
        <v>0</v>
      </c>
      <c r="F21" s="3">
        <f t="shared" si="3"/>
        <v>566201</v>
      </c>
      <c r="G21" s="6">
        <f t="shared" si="1"/>
        <v>3618</v>
      </c>
      <c r="H21" s="2">
        <f t="shared" si="4"/>
        <v>-616684</v>
      </c>
    </row>
    <row r="22" spans="1:14" ht="15" x14ac:dyDescent="0.25">
      <c r="A22" s="14">
        <v>13</v>
      </c>
      <c r="B22" s="101">
        <f t="shared" si="0"/>
        <v>45289</v>
      </c>
      <c r="C22" s="1">
        <v>2379</v>
      </c>
      <c r="D22" s="86">
        <f t="shared" si="2"/>
        <v>31172</v>
      </c>
      <c r="E22" s="1">
        <v>0</v>
      </c>
      <c r="F22" s="3">
        <f t="shared" si="3"/>
        <v>566201</v>
      </c>
      <c r="G22" s="6">
        <f t="shared" si="1"/>
        <v>2379</v>
      </c>
      <c r="H22" s="2">
        <f t="shared" si="4"/>
        <v>-613066</v>
      </c>
    </row>
    <row r="23" spans="1:14" ht="15" x14ac:dyDescent="0.25">
      <c r="A23" s="14">
        <v>14</v>
      </c>
      <c r="B23" s="101">
        <f>B22+7</f>
        <v>45296</v>
      </c>
      <c r="C23" s="1">
        <v>2368</v>
      </c>
      <c r="D23" s="86">
        <f t="shared" si="2"/>
        <v>33540</v>
      </c>
      <c r="E23" s="1">
        <v>0</v>
      </c>
      <c r="F23" s="3">
        <f t="shared" si="3"/>
        <v>566201</v>
      </c>
      <c r="G23" s="6">
        <f t="shared" si="1"/>
        <v>2368</v>
      </c>
      <c r="H23" s="2">
        <f t="shared" si="4"/>
        <v>-610687</v>
      </c>
    </row>
    <row r="24" spans="1:14" ht="15" x14ac:dyDescent="0.25">
      <c r="A24" s="14">
        <v>15</v>
      </c>
      <c r="B24" s="101">
        <f t="shared" si="0"/>
        <v>45303</v>
      </c>
      <c r="C24" s="1">
        <v>4492</v>
      </c>
      <c r="D24" s="86">
        <f t="shared" si="2"/>
        <v>38032</v>
      </c>
      <c r="E24" s="1">
        <v>26148</v>
      </c>
      <c r="F24" s="3">
        <f t="shared" si="3"/>
        <v>592349</v>
      </c>
      <c r="G24" s="6">
        <f t="shared" si="1"/>
        <v>-21656</v>
      </c>
      <c r="H24" s="2">
        <f t="shared" si="4"/>
        <v>-608319</v>
      </c>
    </row>
    <row r="25" spans="1:14" ht="15" x14ac:dyDescent="0.25">
      <c r="A25" s="14">
        <v>16</v>
      </c>
      <c r="B25" s="101">
        <f t="shared" si="0"/>
        <v>45310</v>
      </c>
      <c r="C25" s="1">
        <v>6172</v>
      </c>
      <c r="D25" s="86">
        <f t="shared" si="2"/>
        <v>44204</v>
      </c>
      <c r="E25" s="1">
        <v>28180</v>
      </c>
      <c r="F25" s="3">
        <f t="shared" si="3"/>
        <v>620529</v>
      </c>
      <c r="G25" s="6">
        <f t="shared" si="1"/>
        <v>-22008</v>
      </c>
      <c r="H25" s="2">
        <f t="shared" si="4"/>
        <v>-629975</v>
      </c>
    </row>
    <row r="26" spans="1:14" ht="15" x14ac:dyDescent="0.25">
      <c r="A26" s="14">
        <v>17</v>
      </c>
      <c r="B26" s="101">
        <f t="shared" si="0"/>
        <v>45317</v>
      </c>
      <c r="C26" s="1">
        <v>7063</v>
      </c>
      <c r="D26" s="86">
        <f t="shared" si="2"/>
        <v>51267</v>
      </c>
      <c r="E26" s="1">
        <v>20172</v>
      </c>
      <c r="F26" s="3">
        <f t="shared" si="3"/>
        <v>640701</v>
      </c>
      <c r="G26" s="6">
        <f t="shared" si="1"/>
        <v>-13109</v>
      </c>
      <c r="H26" s="2">
        <f t="shared" si="4"/>
        <v>-651983</v>
      </c>
      <c r="N26" s="85"/>
    </row>
    <row r="27" spans="1:14" ht="15" x14ac:dyDescent="0.25">
      <c r="A27" s="14">
        <v>18</v>
      </c>
      <c r="B27" s="101">
        <f t="shared" si="0"/>
        <v>45324</v>
      </c>
      <c r="C27" s="1">
        <v>3826</v>
      </c>
      <c r="D27" s="86">
        <f t="shared" si="2"/>
        <v>55093</v>
      </c>
      <c r="E27" s="1">
        <v>49194</v>
      </c>
      <c r="F27" s="3">
        <f t="shared" si="3"/>
        <v>689895</v>
      </c>
      <c r="G27" s="6">
        <f t="shared" si="1"/>
        <v>-45368</v>
      </c>
      <c r="H27" s="2">
        <f t="shared" si="4"/>
        <v>-665092</v>
      </c>
    </row>
    <row r="28" spans="1:14" ht="15" x14ac:dyDescent="0.25">
      <c r="A28" s="14">
        <v>19</v>
      </c>
      <c r="B28" s="101">
        <f t="shared" si="0"/>
        <v>45331</v>
      </c>
      <c r="C28" s="1">
        <v>4086</v>
      </c>
      <c r="D28" s="86">
        <f t="shared" si="2"/>
        <v>59179</v>
      </c>
      <c r="E28" s="1">
        <v>35616</v>
      </c>
      <c r="F28" s="3">
        <f t="shared" si="3"/>
        <v>725511</v>
      </c>
      <c r="G28" s="6">
        <f t="shared" si="1"/>
        <v>-31530</v>
      </c>
      <c r="H28" s="2">
        <f t="shared" si="4"/>
        <v>-710460</v>
      </c>
    </row>
    <row r="29" spans="1:14" ht="15" x14ac:dyDescent="0.25">
      <c r="A29" s="14">
        <v>20</v>
      </c>
      <c r="B29" s="101">
        <f t="shared" si="0"/>
        <v>45338</v>
      </c>
      <c r="C29" s="1">
        <v>4234</v>
      </c>
      <c r="D29" s="86">
        <f t="shared" si="2"/>
        <v>63413</v>
      </c>
      <c r="E29" s="1">
        <v>9003</v>
      </c>
      <c r="F29" s="3">
        <f t="shared" si="3"/>
        <v>734514</v>
      </c>
      <c r="G29" s="6">
        <f t="shared" si="1"/>
        <v>-4769</v>
      </c>
      <c r="H29" s="2">
        <f t="shared" si="4"/>
        <v>-741990</v>
      </c>
    </row>
    <row r="30" spans="1:14" ht="15" x14ac:dyDescent="0.25">
      <c r="A30" s="14">
        <v>21</v>
      </c>
      <c r="B30" s="101">
        <f t="shared" si="0"/>
        <v>45345</v>
      </c>
      <c r="C30" s="1">
        <v>6177</v>
      </c>
      <c r="D30" s="86">
        <f t="shared" si="2"/>
        <v>69590</v>
      </c>
      <c r="E30" s="1">
        <v>19570</v>
      </c>
      <c r="F30" s="3">
        <f t="shared" si="3"/>
        <v>754084</v>
      </c>
      <c r="G30" s="6">
        <f t="shared" si="1"/>
        <v>-13393</v>
      </c>
      <c r="H30" s="2">
        <f t="shared" si="4"/>
        <v>-746759</v>
      </c>
    </row>
    <row r="31" spans="1:14" ht="15" x14ac:dyDescent="0.25">
      <c r="A31" s="14">
        <v>22</v>
      </c>
      <c r="B31" s="101">
        <f t="shared" si="0"/>
        <v>45352</v>
      </c>
      <c r="C31" s="1">
        <v>5233</v>
      </c>
      <c r="D31" s="86">
        <f t="shared" si="2"/>
        <v>74823</v>
      </c>
      <c r="E31" s="1">
        <v>3943</v>
      </c>
      <c r="F31" s="3">
        <f t="shared" si="3"/>
        <v>758027</v>
      </c>
      <c r="G31" s="6">
        <f t="shared" si="1"/>
        <v>1290</v>
      </c>
      <c r="H31" s="2">
        <f t="shared" si="4"/>
        <v>-760152</v>
      </c>
    </row>
    <row r="32" spans="1:14" ht="15" x14ac:dyDescent="0.25">
      <c r="A32" s="14">
        <v>23</v>
      </c>
      <c r="B32" s="101">
        <f t="shared" si="0"/>
        <v>45359</v>
      </c>
      <c r="C32" s="1">
        <v>5805</v>
      </c>
      <c r="D32" s="86">
        <f t="shared" si="2"/>
        <v>80628</v>
      </c>
      <c r="E32" s="1">
        <v>34989</v>
      </c>
      <c r="F32" s="3">
        <f t="shared" si="3"/>
        <v>793016</v>
      </c>
      <c r="G32" s="6">
        <f t="shared" si="1"/>
        <v>-29184</v>
      </c>
      <c r="H32" s="2">
        <f t="shared" si="4"/>
        <v>-758862</v>
      </c>
    </row>
    <row r="33" spans="1:12" ht="15" x14ac:dyDescent="0.25">
      <c r="A33" s="14">
        <v>24</v>
      </c>
      <c r="B33" s="101">
        <f t="shared" si="0"/>
        <v>45366</v>
      </c>
      <c r="C33" s="1">
        <v>4018</v>
      </c>
      <c r="D33" s="86">
        <f t="shared" si="2"/>
        <v>84646</v>
      </c>
      <c r="E33" s="1">
        <v>104344</v>
      </c>
      <c r="F33" s="3">
        <f t="shared" si="3"/>
        <v>897360</v>
      </c>
      <c r="G33" s="6">
        <f t="shared" si="1"/>
        <v>-100326</v>
      </c>
      <c r="H33" s="2">
        <f t="shared" si="4"/>
        <v>-788046</v>
      </c>
    </row>
    <row r="34" spans="1:12" ht="15" x14ac:dyDescent="0.25">
      <c r="A34" s="14">
        <v>25</v>
      </c>
      <c r="B34" s="101">
        <f t="shared" si="0"/>
        <v>45373</v>
      </c>
      <c r="C34" s="1">
        <v>2864</v>
      </c>
      <c r="D34" s="86">
        <f t="shared" si="2"/>
        <v>87510</v>
      </c>
      <c r="E34" s="1">
        <v>19535</v>
      </c>
      <c r="F34" s="3">
        <f t="shared" si="3"/>
        <v>916895</v>
      </c>
      <c r="G34" s="6">
        <f t="shared" si="1"/>
        <v>-16671</v>
      </c>
      <c r="H34" s="2">
        <f t="shared" si="4"/>
        <v>-888372</v>
      </c>
    </row>
    <row r="35" spans="1:12" ht="15" x14ac:dyDescent="0.25">
      <c r="A35" s="14">
        <v>26</v>
      </c>
      <c r="B35" s="101">
        <f t="shared" si="0"/>
        <v>45380</v>
      </c>
      <c r="C35" s="1">
        <v>2420</v>
      </c>
      <c r="D35" s="86">
        <f t="shared" si="2"/>
        <v>89930</v>
      </c>
      <c r="E35" s="1">
        <v>14695</v>
      </c>
      <c r="F35" s="3">
        <f t="shared" si="3"/>
        <v>931590</v>
      </c>
      <c r="G35" s="6">
        <f t="shared" si="1"/>
        <v>-12275</v>
      </c>
      <c r="H35" s="2">
        <f t="shared" si="4"/>
        <v>-905043</v>
      </c>
    </row>
    <row r="36" spans="1:12" ht="15" x14ac:dyDescent="0.25">
      <c r="A36" s="14">
        <v>27</v>
      </c>
      <c r="B36" s="101">
        <f t="shared" si="0"/>
        <v>45387</v>
      </c>
      <c r="C36" s="1">
        <v>3452</v>
      </c>
      <c r="D36" s="86">
        <f t="shared" si="2"/>
        <v>93382</v>
      </c>
      <c r="E36" s="1">
        <v>5972</v>
      </c>
      <c r="F36" s="3">
        <f t="shared" si="3"/>
        <v>937562</v>
      </c>
      <c r="G36" s="6">
        <f t="shared" si="1"/>
        <v>-2520</v>
      </c>
      <c r="H36" s="2">
        <f t="shared" si="4"/>
        <v>-917318</v>
      </c>
    </row>
    <row r="37" spans="1:12" ht="15" x14ac:dyDescent="0.25">
      <c r="A37" s="14">
        <v>28</v>
      </c>
      <c r="B37" s="101">
        <f t="shared" si="0"/>
        <v>45394</v>
      </c>
      <c r="C37" s="1">
        <v>4512</v>
      </c>
      <c r="D37" s="86">
        <f t="shared" si="2"/>
        <v>97894</v>
      </c>
      <c r="E37" s="1">
        <v>0</v>
      </c>
      <c r="F37" s="3">
        <f t="shared" si="3"/>
        <v>937562</v>
      </c>
      <c r="G37" s="6">
        <f t="shared" si="1"/>
        <v>4512</v>
      </c>
      <c r="H37" s="2">
        <f t="shared" si="4"/>
        <v>-919838</v>
      </c>
    </row>
    <row r="38" spans="1:12" ht="15" x14ac:dyDescent="0.25">
      <c r="A38" s="14">
        <v>29</v>
      </c>
      <c r="B38" s="101">
        <f t="shared" si="0"/>
        <v>45401</v>
      </c>
      <c r="C38" s="1">
        <v>7646</v>
      </c>
      <c r="D38" s="86">
        <f t="shared" si="2"/>
        <v>105540</v>
      </c>
      <c r="E38" s="1">
        <v>15000</v>
      </c>
      <c r="F38" s="3">
        <f t="shared" si="3"/>
        <v>952562</v>
      </c>
      <c r="G38" s="6">
        <f t="shared" si="1"/>
        <v>-7354</v>
      </c>
      <c r="H38" s="2">
        <f t="shared" si="4"/>
        <v>-915326</v>
      </c>
    </row>
    <row r="39" spans="1:12" ht="15" x14ac:dyDescent="0.25">
      <c r="A39" s="14">
        <v>30</v>
      </c>
      <c r="B39" s="101">
        <f t="shared" si="0"/>
        <v>45408</v>
      </c>
      <c r="C39" s="1">
        <v>6449</v>
      </c>
      <c r="D39" s="86">
        <f t="shared" si="2"/>
        <v>111989</v>
      </c>
      <c r="E39" s="1">
        <v>4830</v>
      </c>
      <c r="F39" s="3">
        <f t="shared" si="3"/>
        <v>957392</v>
      </c>
      <c r="G39" s="6">
        <f t="shared" si="1"/>
        <v>1619</v>
      </c>
      <c r="H39" s="2">
        <f t="shared" si="4"/>
        <v>-922680</v>
      </c>
    </row>
    <row r="40" spans="1:12" ht="15" x14ac:dyDescent="0.25">
      <c r="A40" s="14">
        <v>31</v>
      </c>
      <c r="B40" s="101">
        <f t="shared" si="0"/>
        <v>45415</v>
      </c>
      <c r="C40" s="1">
        <v>3497</v>
      </c>
      <c r="D40" s="86">
        <f t="shared" si="2"/>
        <v>115486</v>
      </c>
      <c r="E40" s="1">
        <v>52207</v>
      </c>
      <c r="F40" s="3">
        <f t="shared" si="3"/>
        <v>1009599</v>
      </c>
      <c r="G40" s="6">
        <f t="shared" si="1"/>
        <v>-48710</v>
      </c>
      <c r="H40" s="2">
        <f t="shared" si="4"/>
        <v>-921061</v>
      </c>
    </row>
    <row r="41" spans="1:12" ht="15" x14ac:dyDescent="0.25">
      <c r="A41" s="14">
        <v>32</v>
      </c>
      <c r="B41" s="101">
        <f t="shared" si="0"/>
        <v>45422</v>
      </c>
      <c r="C41" s="1">
        <v>7055</v>
      </c>
      <c r="D41" s="86">
        <f t="shared" si="2"/>
        <v>122541</v>
      </c>
      <c r="E41" s="1">
        <v>53138</v>
      </c>
      <c r="F41" s="3">
        <f t="shared" si="3"/>
        <v>1062737</v>
      </c>
      <c r="G41" s="6">
        <f t="shared" si="1"/>
        <v>-46083</v>
      </c>
      <c r="H41" s="2">
        <f t="shared" si="4"/>
        <v>-969771</v>
      </c>
    </row>
    <row r="42" spans="1:12" ht="15" x14ac:dyDescent="0.25">
      <c r="A42" s="14">
        <v>33</v>
      </c>
      <c r="B42" s="101">
        <f t="shared" si="0"/>
        <v>45429</v>
      </c>
      <c r="C42" s="1">
        <v>4986</v>
      </c>
      <c r="D42" s="86">
        <f t="shared" si="2"/>
        <v>127527</v>
      </c>
      <c r="E42" s="1">
        <v>77730</v>
      </c>
      <c r="F42" s="3">
        <f t="shared" si="3"/>
        <v>1140467</v>
      </c>
      <c r="G42" s="6">
        <f t="shared" si="1"/>
        <v>-72744</v>
      </c>
      <c r="H42" s="2">
        <f t="shared" si="4"/>
        <v>-1015854</v>
      </c>
    </row>
    <row r="43" spans="1:12" ht="15" x14ac:dyDescent="0.25">
      <c r="A43" s="14">
        <v>34</v>
      </c>
      <c r="B43" s="101">
        <f t="shared" si="0"/>
        <v>45436</v>
      </c>
      <c r="C43" s="1">
        <v>5241</v>
      </c>
      <c r="D43" s="86">
        <f t="shared" si="2"/>
        <v>132768</v>
      </c>
      <c r="E43" s="1">
        <v>87256</v>
      </c>
      <c r="F43" s="3">
        <f t="shared" si="3"/>
        <v>1227723</v>
      </c>
      <c r="G43" s="6">
        <f t="shared" si="1"/>
        <v>-82015</v>
      </c>
      <c r="H43" s="2">
        <f t="shared" si="4"/>
        <v>-1088598</v>
      </c>
    </row>
    <row r="44" spans="1:12" ht="15" x14ac:dyDescent="0.25">
      <c r="A44" s="14">
        <v>35</v>
      </c>
      <c r="B44" s="101">
        <f t="shared" si="0"/>
        <v>45443</v>
      </c>
      <c r="C44" s="1">
        <v>6224</v>
      </c>
      <c r="D44" s="86">
        <f t="shared" si="2"/>
        <v>138992</v>
      </c>
      <c r="E44" s="1">
        <v>12607</v>
      </c>
      <c r="F44" s="3">
        <f t="shared" si="3"/>
        <v>1240330</v>
      </c>
      <c r="G44" s="6">
        <f t="shared" si="1"/>
        <v>-6383</v>
      </c>
      <c r="H44" s="2">
        <f t="shared" si="4"/>
        <v>-1170613</v>
      </c>
    </row>
    <row r="45" spans="1:12" ht="15" x14ac:dyDescent="0.25">
      <c r="A45" s="14">
        <v>36</v>
      </c>
      <c r="B45" s="101">
        <f t="shared" si="0"/>
        <v>45450</v>
      </c>
      <c r="C45" s="1">
        <v>6234</v>
      </c>
      <c r="D45" s="86">
        <f t="shared" si="2"/>
        <v>145226</v>
      </c>
      <c r="E45" s="1">
        <v>7898</v>
      </c>
      <c r="F45" s="3">
        <f t="shared" si="3"/>
        <v>1248228</v>
      </c>
      <c r="G45" s="6">
        <f t="shared" si="1"/>
        <v>-1664</v>
      </c>
      <c r="H45" s="2">
        <f t="shared" si="4"/>
        <v>-1176996</v>
      </c>
      <c r="L45" s="110"/>
    </row>
    <row r="46" spans="1:12" ht="15" x14ac:dyDescent="0.25">
      <c r="A46" s="14">
        <v>37</v>
      </c>
      <c r="B46" s="101">
        <f t="shared" si="0"/>
        <v>45457</v>
      </c>
      <c r="C46" s="1">
        <v>5542</v>
      </c>
      <c r="D46" s="86">
        <f t="shared" si="2"/>
        <v>150768</v>
      </c>
      <c r="E46" s="1">
        <v>17946</v>
      </c>
      <c r="F46" s="3">
        <f t="shared" si="3"/>
        <v>1266174</v>
      </c>
      <c r="G46" s="6">
        <f t="shared" si="1"/>
        <v>-12404</v>
      </c>
      <c r="H46" s="2">
        <f t="shared" si="4"/>
        <v>-1178660</v>
      </c>
    </row>
    <row r="47" spans="1:12" ht="15" x14ac:dyDescent="0.25">
      <c r="A47" s="14">
        <v>38</v>
      </c>
      <c r="B47" s="101">
        <f t="shared" si="0"/>
        <v>45464</v>
      </c>
      <c r="C47" s="1">
        <v>4160</v>
      </c>
      <c r="D47" s="86">
        <f t="shared" si="2"/>
        <v>154928</v>
      </c>
      <c r="E47" s="1">
        <v>27113</v>
      </c>
      <c r="F47" s="3">
        <f t="shared" si="3"/>
        <v>1293287</v>
      </c>
      <c r="G47" s="6">
        <f t="shared" si="1"/>
        <v>-22953</v>
      </c>
      <c r="H47" s="2">
        <f t="shared" si="4"/>
        <v>-1191064</v>
      </c>
    </row>
    <row r="48" spans="1:12" ht="15" x14ac:dyDescent="0.25">
      <c r="A48" s="14">
        <v>39</v>
      </c>
      <c r="B48" s="101">
        <f t="shared" si="0"/>
        <v>45471</v>
      </c>
      <c r="C48" s="1">
        <v>4412</v>
      </c>
      <c r="D48" s="86">
        <f t="shared" si="2"/>
        <v>159340</v>
      </c>
      <c r="E48" s="1">
        <v>54245</v>
      </c>
      <c r="F48" s="3">
        <f t="shared" si="3"/>
        <v>1347532</v>
      </c>
      <c r="G48" s="6">
        <f t="shared" si="1"/>
        <v>-49833</v>
      </c>
      <c r="H48" s="2">
        <f t="shared" si="4"/>
        <v>-1214017</v>
      </c>
      <c r="K48" s="12"/>
    </row>
    <row r="49" spans="1:8" ht="15" x14ac:dyDescent="0.25">
      <c r="A49" s="14">
        <v>40</v>
      </c>
      <c r="B49" s="101">
        <f t="shared" si="0"/>
        <v>45478</v>
      </c>
      <c r="C49" s="1">
        <v>4416</v>
      </c>
      <c r="D49" s="86">
        <f t="shared" si="2"/>
        <v>163756</v>
      </c>
      <c r="E49" s="1">
        <v>30005</v>
      </c>
      <c r="F49" s="3">
        <f t="shared" si="3"/>
        <v>1377537</v>
      </c>
      <c r="G49" s="6">
        <f t="shared" si="1"/>
        <v>-25589</v>
      </c>
      <c r="H49" s="2">
        <f t="shared" si="4"/>
        <v>-1263850</v>
      </c>
    </row>
    <row r="50" spans="1:8" ht="15" x14ac:dyDescent="0.25">
      <c r="A50" s="14">
        <v>41</v>
      </c>
      <c r="B50" s="101">
        <f t="shared" si="0"/>
        <v>45485</v>
      </c>
      <c r="C50" s="1">
        <v>3225</v>
      </c>
      <c r="D50" s="86">
        <f t="shared" si="2"/>
        <v>166981</v>
      </c>
      <c r="E50" s="1">
        <v>66977</v>
      </c>
      <c r="F50" s="3">
        <f t="shared" si="3"/>
        <v>1444514</v>
      </c>
      <c r="G50" s="6">
        <f t="shared" si="1"/>
        <v>-63752</v>
      </c>
      <c r="H50" s="2">
        <f t="shared" si="4"/>
        <v>-1289439</v>
      </c>
    </row>
    <row r="51" spans="1:8" ht="15" x14ac:dyDescent="0.25">
      <c r="A51" s="14">
        <v>42</v>
      </c>
      <c r="B51" s="101">
        <f t="shared" si="0"/>
        <v>45492</v>
      </c>
      <c r="C51" s="1">
        <v>3211</v>
      </c>
      <c r="D51" s="86">
        <f t="shared" si="2"/>
        <v>170192</v>
      </c>
      <c r="E51" s="1">
        <v>102751</v>
      </c>
      <c r="F51" s="3">
        <f t="shared" si="3"/>
        <v>1547265</v>
      </c>
      <c r="G51" s="6">
        <f t="shared" si="1"/>
        <v>-99540</v>
      </c>
      <c r="H51" s="2">
        <f t="shared" si="4"/>
        <v>-1353191</v>
      </c>
    </row>
    <row r="52" spans="1:8" ht="15" x14ac:dyDescent="0.25">
      <c r="A52" s="14">
        <v>43</v>
      </c>
      <c r="B52" s="101">
        <f t="shared" si="0"/>
        <v>45499</v>
      </c>
      <c r="C52" s="1">
        <v>3676</v>
      </c>
      <c r="D52" s="86">
        <f t="shared" si="2"/>
        <v>173868</v>
      </c>
      <c r="E52" s="1">
        <v>22120</v>
      </c>
      <c r="F52" s="3">
        <f t="shared" si="3"/>
        <v>1569385</v>
      </c>
      <c r="G52" s="6">
        <f t="shared" si="1"/>
        <v>-18444</v>
      </c>
      <c r="H52" s="2">
        <f t="shared" si="4"/>
        <v>-1452731</v>
      </c>
    </row>
    <row r="53" spans="1:8" ht="15" x14ac:dyDescent="0.25">
      <c r="A53" s="14">
        <v>44</v>
      </c>
      <c r="B53" s="101">
        <f t="shared" si="0"/>
        <v>45506</v>
      </c>
      <c r="C53" s="1">
        <v>2860</v>
      </c>
      <c r="D53" s="86">
        <f t="shared" si="2"/>
        <v>176728</v>
      </c>
      <c r="E53" s="1">
        <v>8782</v>
      </c>
      <c r="F53" s="3">
        <f t="shared" si="3"/>
        <v>1578167</v>
      </c>
      <c r="G53" s="6">
        <f t="shared" si="1"/>
        <v>-5922</v>
      </c>
      <c r="H53" s="2">
        <f t="shared" si="4"/>
        <v>-1471175</v>
      </c>
    </row>
    <row r="54" spans="1:8" ht="15" x14ac:dyDescent="0.25">
      <c r="A54" s="14">
        <v>45</v>
      </c>
      <c r="B54" s="101">
        <f t="shared" si="0"/>
        <v>45513</v>
      </c>
      <c r="C54" s="1">
        <v>3987</v>
      </c>
      <c r="D54" s="86">
        <f t="shared" si="2"/>
        <v>180715</v>
      </c>
      <c r="E54" s="1">
        <v>64777</v>
      </c>
      <c r="F54" s="3">
        <f t="shared" si="3"/>
        <v>1642944</v>
      </c>
      <c r="G54" s="6">
        <f t="shared" si="1"/>
        <v>-60790</v>
      </c>
      <c r="H54" s="2">
        <f t="shared" si="4"/>
        <v>-1477097</v>
      </c>
    </row>
    <row r="55" spans="1:8" ht="15" x14ac:dyDescent="0.25">
      <c r="A55" s="14">
        <v>46</v>
      </c>
      <c r="B55" s="101">
        <f t="shared" si="0"/>
        <v>45520</v>
      </c>
      <c r="C55" s="1">
        <v>6406</v>
      </c>
      <c r="D55" s="86">
        <f t="shared" si="2"/>
        <v>187121</v>
      </c>
      <c r="E55" s="1">
        <v>0</v>
      </c>
      <c r="F55" s="3">
        <f t="shared" si="3"/>
        <v>1642944</v>
      </c>
      <c r="G55" s="6">
        <f t="shared" si="1"/>
        <v>6406</v>
      </c>
      <c r="H55" s="2">
        <f t="shared" si="4"/>
        <v>-1537887</v>
      </c>
    </row>
    <row r="56" spans="1:8" ht="15" x14ac:dyDescent="0.25">
      <c r="A56" s="14">
        <v>47</v>
      </c>
      <c r="B56" s="101">
        <f t="shared" si="0"/>
        <v>45527</v>
      </c>
      <c r="C56" s="1">
        <v>4758</v>
      </c>
      <c r="D56" s="86">
        <f t="shared" si="2"/>
        <v>191879</v>
      </c>
      <c r="E56" s="1">
        <v>37254</v>
      </c>
      <c r="F56" s="3">
        <f t="shared" si="3"/>
        <v>1680198</v>
      </c>
      <c r="G56" s="6">
        <f t="shared" si="1"/>
        <v>-32496</v>
      </c>
      <c r="H56" s="2">
        <f t="shared" si="4"/>
        <v>-1531481</v>
      </c>
    </row>
    <row r="57" spans="1:8" ht="15" x14ac:dyDescent="0.25">
      <c r="A57" s="14">
        <v>48</v>
      </c>
      <c r="B57" s="101">
        <f t="shared" si="0"/>
        <v>45534</v>
      </c>
      <c r="C57" s="1">
        <v>3644</v>
      </c>
      <c r="D57" s="86">
        <f t="shared" si="2"/>
        <v>195523</v>
      </c>
      <c r="E57" s="1"/>
      <c r="F57" s="3">
        <f t="shared" si="3"/>
        <v>1680198</v>
      </c>
      <c r="G57" s="6">
        <f t="shared" si="1"/>
        <v>3644</v>
      </c>
      <c r="H57" s="2">
        <f t="shared" si="4"/>
        <v>-1563977</v>
      </c>
    </row>
    <row r="58" spans="1:8" ht="15" x14ac:dyDescent="0.25">
      <c r="A58" s="14">
        <v>49</v>
      </c>
      <c r="B58" s="101">
        <f t="shared" si="0"/>
        <v>45541</v>
      </c>
      <c r="C58" s="1">
        <v>1698</v>
      </c>
      <c r="D58" s="86">
        <f t="shared" si="2"/>
        <v>197221</v>
      </c>
      <c r="E58" s="1">
        <v>24663</v>
      </c>
      <c r="F58" s="3">
        <f t="shared" si="3"/>
        <v>1704861</v>
      </c>
      <c r="G58" s="6">
        <f t="shared" si="1"/>
        <v>-22965</v>
      </c>
      <c r="H58" s="2">
        <f t="shared" si="4"/>
        <v>-1560333</v>
      </c>
    </row>
    <row r="59" spans="1:8" ht="15" x14ac:dyDescent="0.25">
      <c r="A59" s="14">
        <v>50</v>
      </c>
      <c r="B59" s="101">
        <f t="shared" si="0"/>
        <v>45548</v>
      </c>
      <c r="C59" s="1">
        <v>6342</v>
      </c>
      <c r="D59" s="86">
        <f t="shared" si="2"/>
        <v>203563</v>
      </c>
      <c r="E59" s="1">
        <v>59161</v>
      </c>
      <c r="F59" s="3">
        <f t="shared" si="3"/>
        <v>1764022</v>
      </c>
      <c r="G59" s="6">
        <f t="shared" si="1"/>
        <v>-52819</v>
      </c>
      <c r="H59" s="2">
        <f t="shared" si="4"/>
        <v>-1583298</v>
      </c>
    </row>
    <row r="60" spans="1:8" ht="15" x14ac:dyDescent="0.25">
      <c r="A60" s="14">
        <v>51</v>
      </c>
      <c r="B60" s="101">
        <f t="shared" si="0"/>
        <v>45555</v>
      </c>
      <c r="C60" s="1">
        <v>5838</v>
      </c>
      <c r="D60" s="86">
        <f t="shared" si="2"/>
        <v>209401</v>
      </c>
      <c r="E60" s="1">
        <v>48169</v>
      </c>
      <c r="F60" s="3">
        <f t="shared" si="3"/>
        <v>1812191</v>
      </c>
      <c r="G60" s="6">
        <f t="shared" si="1"/>
        <v>-42331</v>
      </c>
      <c r="H60" s="2">
        <f t="shared" si="4"/>
        <v>-1636117</v>
      </c>
    </row>
    <row r="61" spans="1:8" ht="15.75" thickBot="1" x14ac:dyDescent="0.3">
      <c r="A61" s="109">
        <v>52</v>
      </c>
      <c r="B61" s="103">
        <f t="shared" si="0"/>
        <v>45562</v>
      </c>
      <c r="C61" s="58">
        <v>3412</v>
      </c>
      <c r="D61" s="57">
        <f t="shared" si="2"/>
        <v>212813</v>
      </c>
      <c r="E61" s="58">
        <v>84406</v>
      </c>
      <c r="F61" s="57">
        <f t="shared" si="3"/>
        <v>1896597</v>
      </c>
      <c r="G61" s="57">
        <f t="shared" si="1"/>
        <v>-80994</v>
      </c>
      <c r="H61" s="57">
        <f t="shared" si="4"/>
        <v>-1678448</v>
      </c>
    </row>
    <row r="62" spans="1:8" x14ac:dyDescent="0.2">
      <c r="B62" s="7"/>
      <c r="D62" s="3"/>
    </row>
    <row r="63" spans="1:8" x14ac:dyDescent="0.2">
      <c r="B63" s="7"/>
    </row>
    <row r="64" spans="1:8" x14ac:dyDescent="0.2">
      <c r="B64" s="7"/>
    </row>
    <row r="65" spans="2:3" x14ac:dyDescent="0.2">
      <c r="B65" s="7"/>
    </row>
    <row r="66" spans="2:3" x14ac:dyDescent="0.2">
      <c r="B66" s="7"/>
      <c r="C66" s="5"/>
    </row>
    <row r="67" spans="2:3" x14ac:dyDescent="0.2">
      <c r="B67" s="7"/>
      <c r="C67" s="5"/>
    </row>
    <row r="68" spans="2:3" x14ac:dyDescent="0.2">
      <c r="B68" s="7"/>
    </row>
    <row r="69" spans="2:3" x14ac:dyDescent="0.2">
      <c r="B69" s="7"/>
    </row>
    <row r="70" spans="2:3" x14ac:dyDescent="0.2">
      <c r="B70" s="7"/>
    </row>
    <row r="71" spans="2:3" x14ac:dyDescent="0.2">
      <c r="B71" s="7"/>
    </row>
    <row r="72" spans="2:3" x14ac:dyDescent="0.2">
      <c r="B72" s="7"/>
    </row>
    <row r="73" spans="2:3" x14ac:dyDescent="0.2">
      <c r="B73" s="7"/>
    </row>
    <row r="74" spans="2:3" x14ac:dyDescent="0.2">
      <c r="B74" s="7"/>
    </row>
    <row r="75" spans="2:3" x14ac:dyDescent="0.2">
      <c r="B75" s="7"/>
    </row>
    <row r="76" spans="2:3" x14ac:dyDescent="0.2">
      <c r="B76" s="7"/>
    </row>
    <row r="77" spans="2:3" x14ac:dyDescent="0.2">
      <c r="B77" s="7"/>
    </row>
    <row r="78" spans="2:3" x14ac:dyDescent="0.2">
      <c r="B78" s="7"/>
    </row>
    <row r="79" spans="2:3" x14ac:dyDescent="0.2">
      <c r="B79" s="7"/>
    </row>
    <row r="80" spans="2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2:2" x14ac:dyDescent="0.2">
      <c r="B513" s="7"/>
    </row>
    <row r="514" spans="2:2" x14ac:dyDescent="0.2">
      <c r="B514" s="7"/>
    </row>
    <row r="515" spans="2:2" x14ac:dyDescent="0.2">
      <c r="B515" s="7"/>
    </row>
    <row r="516" spans="2:2" x14ac:dyDescent="0.2">
      <c r="B516" s="7"/>
    </row>
    <row r="517" spans="2:2" x14ac:dyDescent="0.2">
      <c r="B517" s="7"/>
    </row>
    <row r="518" spans="2:2" x14ac:dyDescent="0.2">
      <c r="B518" s="7"/>
    </row>
    <row r="519" spans="2:2" x14ac:dyDescent="0.2">
      <c r="B519" s="7"/>
    </row>
    <row r="520" spans="2:2" x14ac:dyDescent="0.2">
      <c r="B520" s="7"/>
    </row>
    <row r="521" spans="2:2" x14ac:dyDescent="0.2">
      <c r="B521" s="7"/>
    </row>
    <row r="522" spans="2:2" x14ac:dyDescent="0.2">
      <c r="B522" s="7"/>
    </row>
    <row r="523" spans="2:2" x14ac:dyDescent="0.2">
      <c r="B523" s="7"/>
    </row>
    <row r="524" spans="2:2" x14ac:dyDescent="0.2">
      <c r="B524" s="7"/>
    </row>
    <row r="525" spans="2:2" x14ac:dyDescent="0.2">
      <c r="B525" s="7"/>
    </row>
    <row r="526" spans="2:2" x14ac:dyDescent="0.2">
      <c r="B526" s="7"/>
    </row>
    <row r="527" spans="2:2" x14ac:dyDescent="0.2">
      <c r="B527" s="7"/>
    </row>
    <row r="528" spans="2:2" x14ac:dyDescent="0.2">
      <c r="B528" s="7"/>
    </row>
    <row r="529" spans="2:2" x14ac:dyDescent="0.2">
      <c r="B529" s="7"/>
    </row>
    <row r="530" spans="2:2" x14ac:dyDescent="0.2">
      <c r="B530" s="7"/>
    </row>
    <row r="531" spans="2:2" x14ac:dyDescent="0.2">
      <c r="B531" s="7"/>
    </row>
    <row r="532" spans="2:2" x14ac:dyDescent="0.2">
      <c r="B532" s="7"/>
    </row>
    <row r="533" spans="2:2" x14ac:dyDescent="0.2">
      <c r="B533" s="7"/>
    </row>
    <row r="534" spans="2:2" x14ac:dyDescent="0.2">
      <c r="B534" s="7"/>
    </row>
    <row r="535" spans="2:2" x14ac:dyDescent="0.2">
      <c r="B535" s="7"/>
    </row>
    <row r="536" spans="2:2" x14ac:dyDescent="0.2">
      <c r="B536" s="7"/>
    </row>
    <row r="537" spans="2:2" x14ac:dyDescent="0.2">
      <c r="B537" s="7"/>
    </row>
    <row r="538" spans="2:2" x14ac:dyDescent="0.2">
      <c r="B538" s="7"/>
    </row>
    <row r="539" spans="2:2" x14ac:dyDescent="0.2">
      <c r="B539" s="7"/>
    </row>
    <row r="540" spans="2:2" x14ac:dyDescent="0.2">
      <c r="B540" s="7"/>
    </row>
    <row r="541" spans="2:2" x14ac:dyDescent="0.2">
      <c r="B541" s="7"/>
    </row>
    <row r="542" spans="2:2" x14ac:dyDescent="0.2">
      <c r="B542" s="7"/>
    </row>
    <row r="543" spans="2:2" x14ac:dyDescent="0.2">
      <c r="B543" s="7"/>
    </row>
    <row r="544" spans="2:2" x14ac:dyDescent="0.2">
      <c r="B544" s="7"/>
    </row>
    <row r="545" spans="2:2" x14ac:dyDescent="0.2">
      <c r="B545" s="7"/>
    </row>
    <row r="546" spans="2:2" x14ac:dyDescent="0.2">
      <c r="B546" s="7"/>
    </row>
    <row r="547" spans="2:2" x14ac:dyDescent="0.2">
      <c r="B547" s="7"/>
    </row>
    <row r="548" spans="2:2" x14ac:dyDescent="0.2">
      <c r="B548" s="7"/>
    </row>
    <row r="549" spans="2:2" x14ac:dyDescent="0.2">
      <c r="B549" s="7"/>
    </row>
    <row r="550" spans="2:2" x14ac:dyDescent="0.2">
      <c r="B550" s="7"/>
    </row>
    <row r="551" spans="2:2" x14ac:dyDescent="0.2">
      <c r="B551" s="7"/>
    </row>
    <row r="552" spans="2:2" x14ac:dyDescent="0.2">
      <c r="B552" s="7"/>
    </row>
    <row r="553" spans="2:2" x14ac:dyDescent="0.2">
      <c r="B553" s="7"/>
    </row>
    <row r="554" spans="2:2" x14ac:dyDescent="0.2">
      <c r="B554" s="7"/>
    </row>
    <row r="555" spans="2:2" x14ac:dyDescent="0.2">
      <c r="B555" s="7"/>
    </row>
    <row r="556" spans="2:2" x14ac:dyDescent="0.2">
      <c r="B556" s="7"/>
    </row>
    <row r="557" spans="2:2" x14ac:dyDescent="0.2">
      <c r="B557" s="7"/>
    </row>
    <row r="558" spans="2:2" x14ac:dyDescent="0.2">
      <c r="B558" s="7"/>
    </row>
    <row r="559" spans="2:2" x14ac:dyDescent="0.2">
      <c r="B559" s="7"/>
    </row>
    <row r="560" spans="2:2" x14ac:dyDescent="0.2">
      <c r="B560" s="7"/>
    </row>
    <row r="561" spans="2:2" x14ac:dyDescent="0.2">
      <c r="B561" s="7"/>
    </row>
    <row r="562" spans="2:2" x14ac:dyDescent="0.2">
      <c r="B562" s="7"/>
    </row>
    <row r="563" spans="2:2" x14ac:dyDescent="0.2">
      <c r="B563" s="7"/>
    </row>
    <row r="564" spans="2:2" x14ac:dyDescent="0.2">
      <c r="B564" s="7"/>
    </row>
    <row r="565" spans="2:2" x14ac:dyDescent="0.2">
      <c r="B565" s="7"/>
    </row>
    <row r="566" spans="2:2" x14ac:dyDescent="0.2">
      <c r="B566" s="7"/>
    </row>
    <row r="567" spans="2:2" x14ac:dyDescent="0.2">
      <c r="B567" s="7"/>
    </row>
    <row r="568" spans="2:2" x14ac:dyDescent="0.2">
      <c r="B568" s="7"/>
    </row>
    <row r="569" spans="2:2" x14ac:dyDescent="0.2">
      <c r="B569" s="7"/>
    </row>
    <row r="570" spans="2:2" x14ac:dyDescent="0.2">
      <c r="B570" s="7"/>
    </row>
    <row r="571" spans="2:2" x14ac:dyDescent="0.2">
      <c r="B571" s="7"/>
    </row>
    <row r="572" spans="2:2" x14ac:dyDescent="0.2">
      <c r="B572" s="7"/>
    </row>
    <row r="573" spans="2:2" x14ac:dyDescent="0.2">
      <c r="B573" s="7"/>
    </row>
    <row r="574" spans="2:2" x14ac:dyDescent="0.2">
      <c r="B574" s="7"/>
    </row>
    <row r="575" spans="2:2" x14ac:dyDescent="0.2">
      <c r="B575" s="7"/>
    </row>
    <row r="576" spans="2:2" x14ac:dyDescent="0.2">
      <c r="B576" s="7"/>
    </row>
    <row r="577" spans="2:2" x14ac:dyDescent="0.2">
      <c r="B577" s="7"/>
    </row>
    <row r="578" spans="2:2" x14ac:dyDescent="0.2">
      <c r="B578" s="7"/>
    </row>
    <row r="579" spans="2:2" x14ac:dyDescent="0.2">
      <c r="B579" s="7"/>
    </row>
    <row r="580" spans="2:2" x14ac:dyDescent="0.2">
      <c r="B580" s="7"/>
    </row>
    <row r="581" spans="2:2" x14ac:dyDescent="0.2">
      <c r="B581" s="7"/>
    </row>
    <row r="582" spans="2:2" x14ac:dyDescent="0.2">
      <c r="B582" s="7"/>
    </row>
    <row r="583" spans="2:2" x14ac:dyDescent="0.2">
      <c r="B583" s="7"/>
    </row>
    <row r="584" spans="2:2" x14ac:dyDescent="0.2">
      <c r="B584" s="7"/>
    </row>
    <row r="585" spans="2:2" x14ac:dyDescent="0.2">
      <c r="B585" s="7"/>
    </row>
    <row r="586" spans="2:2" x14ac:dyDescent="0.2">
      <c r="B586" s="7"/>
    </row>
    <row r="587" spans="2:2" x14ac:dyDescent="0.2">
      <c r="B587" s="7"/>
    </row>
    <row r="588" spans="2:2" x14ac:dyDescent="0.2">
      <c r="B588" s="7"/>
    </row>
    <row r="589" spans="2:2" x14ac:dyDescent="0.2">
      <c r="B589" s="7"/>
    </row>
    <row r="590" spans="2:2" x14ac:dyDescent="0.2">
      <c r="B590" s="7"/>
    </row>
    <row r="591" spans="2:2" x14ac:dyDescent="0.2">
      <c r="B591" s="7"/>
    </row>
    <row r="592" spans="2:2" x14ac:dyDescent="0.2">
      <c r="B592" s="7"/>
    </row>
    <row r="593" spans="2:2" x14ac:dyDescent="0.2">
      <c r="B593" s="7"/>
    </row>
    <row r="594" spans="2:2" x14ac:dyDescent="0.2">
      <c r="B594" s="7"/>
    </row>
    <row r="595" spans="2:2" x14ac:dyDescent="0.2">
      <c r="B595" s="7"/>
    </row>
    <row r="596" spans="2:2" x14ac:dyDescent="0.2">
      <c r="B596" s="7"/>
    </row>
    <row r="597" spans="2:2" x14ac:dyDescent="0.2">
      <c r="B597" s="7"/>
    </row>
    <row r="598" spans="2:2" x14ac:dyDescent="0.2">
      <c r="B598" s="7"/>
    </row>
    <row r="599" spans="2:2" x14ac:dyDescent="0.2">
      <c r="B599" s="7"/>
    </row>
    <row r="600" spans="2:2" x14ac:dyDescent="0.2">
      <c r="B600" s="7"/>
    </row>
    <row r="601" spans="2:2" x14ac:dyDescent="0.2">
      <c r="B601" s="7"/>
    </row>
    <row r="602" spans="2:2" x14ac:dyDescent="0.2">
      <c r="B602" s="7"/>
    </row>
    <row r="603" spans="2:2" x14ac:dyDescent="0.2">
      <c r="B603" s="7"/>
    </row>
    <row r="604" spans="2:2" x14ac:dyDescent="0.2">
      <c r="B604" s="7"/>
    </row>
    <row r="605" spans="2:2" x14ac:dyDescent="0.2">
      <c r="B605" s="7"/>
    </row>
    <row r="606" spans="2:2" x14ac:dyDescent="0.2">
      <c r="B606" s="7"/>
    </row>
    <row r="607" spans="2:2" x14ac:dyDescent="0.2">
      <c r="B607" s="7"/>
    </row>
    <row r="608" spans="2:2" x14ac:dyDescent="0.2">
      <c r="B608" s="7"/>
    </row>
    <row r="609" spans="2:2" x14ac:dyDescent="0.2">
      <c r="B609" s="7"/>
    </row>
    <row r="610" spans="2:2" x14ac:dyDescent="0.2">
      <c r="B610" s="7"/>
    </row>
    <row r="611" spans="2:2" x14ac:dyDescent="0.2">
      <c r="B611" s="7"/>
    </row>
    <row r="612" spans="2:2" x14ac:dyDescent="0.2">
      <c r="B612" s="7"/>
    </row>
    <row r="613" spans="2:2" x14ac:dyDescent="0.2">
      <c r="B613" s="7"/>
    </row>
    <row r="614" spans="2:2" x14ac:dyDescent="0.2">
      <c r="B614" s="7"/>
    </row>
    <row r="615" spans="2:2" x14ac:dyDescent="0.2">
      <c r="B615" s="7"/>
    </row>
    <row r="616" spans="2:2" x14ac:dyDescent="0.2">
      <c r="B616" s="7"/>
    </row>
    <row r="617" spans="2:2" x14ac:dyDescent="0.2">
      <c r="B617" s="7"/>
    </row>
    <row r="618" spans="2:2" x14ac:dyDescent="0.2">
      <c r="B618" s="7"/>
    </row>
    <row r="619" spans="2:2" x14ac:dyDescent="0.2">
      <c r="B619" s="7"/>
    </row>
    <row r="620" spans="2:2" x14ac:dyDescent="0.2">
      <c r="B620" s="7"/>
    </row>
    <row r="621" spans="2:2" x14ac:dyDescent="0.2">
      <c r="B621" s="7"/>
    </row>
    <row r="622" spans="2:2" x14ac:dyDescent="0.2">
      <c r="B622" s="7"/>
    </row>
    <row r="623" spans="2:2" x14ac:dyDescent="0.2">
      <c r="B623" s="7"/>
    </row>
    <row r="624" spans="2:2" x14ac:dyDescent="0.2">
      <c r="B624" s="7"/>
    </row>
    <row r="625" spans="2:2" x14ac:dyDescent="0.2">
      <c r="B625" s="7"/>
    </row>
    <row r="626" spans="2:2" x14ac:dyDescent="0.2">
      <c r="B626" s="7"/>
    </row>
    <row r="627" spans="2:2" x14ac:dyDescent="0.2">
      <c r="B627" s="7"/>
    </row>
    <row r="628" spans="2:2" x14ac:dyDescent="0.2">
      <c r="B628" s="7"/>
    </row>
    <row r="629" spans="2:2" x14ac:dyDescent="0.2">
      <c r="B629" s="7"/>
    </row>
    <row r="630" spans="2:2" x14ac:dyDescent="0.2">
      <c r="B630" s="7"/>
    </row>
    <row r="631" spans="2:2" x14ac:dyDescent="0.2">
      <c r="B631" s="7"/>
    </row>
    <row r="632" spans="2:2" x14ac:dyDescent="0.2">
      <c r="B632" s="7"/>
    </row>
    <row r="633" spans="2:2" x14ac:dyDescent="0.2">
      <c r="B633" s="7"/>
    </row>
    <row r="634" spans="2:2" x14ac:dyDescent="0.2">
      <c r="B634" s="7"/>
    </row>
    <row r="635" spans="2:2" x14ac:dyDescent="0.2">
      <c r="B635" s="7"/>
    </row>
    <row r="636" spans="2:2" x14ac:dyDescent="0.2">
      <c r="B636" s="7"/>
    </row>
    <row r="637" spans="2:2" x14ac:dyDescent="0.2">
      <c r="B637" s="7"/>
    </row>
    <row r="638" spans="2:2" x14ac:dyDescent="0.2">
      <c r="B638" s="7"/>
    </row>
    <row r="639" spans="2:2" x14ac:dyDescent="0.2">
      <c r="B639" s="7"/>
    </row>
    <row r="640" spans="2:2" x14ac:dyDescent="0.2">
      <c r="B640" s="7"/>
    </row>
    <row r="641" spans="2:2" x14ac:dyDescent="0.2">
      <c r="B641" s="7"/>
    </row>
    <row r="642" spans="2:2" x14ac:dyDescent="0.2">
      <c r="B642" s="7"/>
    </row>
    <row r="643" spans="2:2" x14ac:dyDescent="0.2">
      <c r="B643" s="7"/>
    </row>
    <row r="644" spans="2:2" x14ac:dyDescent="0.2">
      <c r="B644" s="7"/>
    </row>
    <row r="645" spans="2:2" x14ac:dyDescent="0.2">
      <c r="B645" s="7"/>
    </row>
    <row r="646" spans="2:2" x14ac:dyDescent="0.2">
      <c r="B646" s="7"/>
    </row>
    <row r="647" spans="2:2" x14ac:dyDescent="0.2">
      <c r="B647" s="7"/>
    </row>
    <row r="648" spans="2:2" x14ac:dyDescent="0.2">
      <c r="B648" s="7"/>
    </row>
    <row r="649" spans="2:2" x14ac:dyDescent="0.2">
      <c r="B649" s="7"/>
    </row>
    <row r="650" spans="2:2" x14ac:dyDescent="0.2">
      <c r="B650" s="7"/>
    </row>
    <row r="651" spans="2:2" x14ac:dyDescent="0.2">
      <c r="B651" s="7"/>
    </row>
    <row r="652" spans="2:2" x14ac:dyDescent="0.2">
      <c r="B652" s="7"/>
    </row>
    <row r="653" spans="2:2" x14ac:dyDescent="0.2">
      <c r="B653" s="7"/>
    </row>
    <row r="654" spans="2:2" x14ac:dyDescent="0.2">
      <c r="B654" s="7"/>
    </row>
    <row r="655" spans="2:2" x14ac:dyDescent="0.2">
      <c r="B655" s="7"/>
    </row>
    <row r="656" spans="2:2" x14ac:dyDescent="0.2">
      <c r="B656" s="7"/>
    </row>
    <row r="657" spans="2:2" x14ac:dyDescent="0.2">
      <c r="B657" s="7"/>
    </row>
    <row r="658" spans="2:2" x14ac:dyDescent="0.2">
      <c r="B658" s="7"/>
    </row>
    <row r="659" spans="2:2" x14ac:dyDescent="0.2">
      <c r="B659" s="7"/>
    </row>
    <row r="660" spans="2:2" x14ac:dyDescent="0.2">
      <c r="B660" s="7"/>
    </row>
    <row r="661" spans="2:2" x14ac:dyDescent="0.2">
      <c r="B661" s="7"/>
    </row>
    <row r="662" spans="2:2" x14ac:dyDescent="0.2">
      <c r="B662" s="7"/>
    </row>
    <row r="663" spans="2:2" x14ac:dyDescent="0.2">
      <c r="B663" s="7"/>
    </row>
    <row r="664" spans="2:2" x14ac:dyDescent="0.2">
      <c r="B664" s="7"/>
    </row>
    <row r="665" spans="2:2" x14ac:dyDescent="0.2">
      <c r="B665" s="7"/>
    </row>
    <row r="666" spans="2:2" x14ac:dyDescent="0.2">
      <c r="B666" s="7"/>
    </row>
    <row r="667" spans="2:2" x14ac:dyDescent="0.2">
      <c r="B667" s="7"/>
    </row>
    <row r="668" spans="2:2" x14ac:dyDescent="0.2">
      <c r="B668" s="7"/>
    </row>
    <row r="669" spans="2:2" x14ac:dyDescent="0.2">
      <c r="B669" s="7"/>
    </row>
    <row r="670" spans="2:2" x14ac:dyDescent="0.2">
      <c r="B670" s="7"/>
    </row>
    <row r="671" spans="2:2" x14ac:dyDescent="0.2">
      <c r="B671" s="7"/>
    </row>
    <row r="672" spans="2:2" x14ac:dyDescent="0.2">
      <c r="B672" s="7"/>
    </row>
    <row r="673" spans="2:2" x14ac:dyDescent="0.2">
      <c r="B673" s="7"/>
    </row>
    <row r="674" spans="2:2" x14ac:dyDescent="0.2">
      <c r="B674" s="7"/>
    </row>
    <row r="675" spans="2:2" x14ac:dyDescent="0.2">
      <c r="B675" s="7"/>
    </row>
    <row r="676" spans="2:2" x14ac:dyDescent="0.2">
      <c r="B676" s="7"/>
    </row>
    <row r="677" spans="2:2" x14ac:dyDescent="0.2">
      <c r="B677" s="7"/>
    </row>
    <row r="678" spans="2:2" x14ac:dyDescent="0.2">
      <c r="B678" s="7"/>
    </row>
    <row r="679" spans="2:2" x14ac:dyDescent="0.2">
      <c r="B679" s="7"/>
    </row>
    <row r="680" spans="2:2" x14ac:dyDescent="0.2">
      <c r="B680" s="7"/>
    </row>
    <row r="681" spans="2:2" x14ac:dyDescent="0.2">
      <c r="B681" s="7"/>
    </row>
    <row r="682" spans="2:2" x14ac:dyDescent="0.2">
      <c r="B682" s="7"/>
    </row>
    <row r="683" spans="2:2" x14ac:dyDescent="0.2">
      <c r="B683" s="7"/>
    </row>
    <row r="684" spans="2:2" x14ac:dyDescent="0.2">
      <c r="B684" s="7"/>
    </row>
    <row r="685" spans="2:2" x14ac:dyDescent="0.2">
      <c r="B685" s="7"/>
    </row>
    <row r="686" spans="2:2" x14ac:dyDescent="0.2">
      <c r="B686" s="7"/>
    </row>
    <row r="687" spans="2:2" x14ac:dyDescent="0.2">
      <c r="B687" s="7"/>
    </row>
    <row r="688" spans="2:2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  <row r="770" spans="2:2" x14ac:dyDescent="0.2">
      <c r="B770" s="7"/>
    </row>
    <row r="771" spans="2:2" x14ac:dyDescent="0.2">
      <c r="B771" s="7"/>
    </row>
    <row r="772" spans="2:2" x14ac:dyDescent="0.2">
      <c r="B772" s="7"/>
    </row>
    <row r="773" spans="2:2" x14ac:dyDescent="0.2">
      <c r="B773" s="7"/>
    </row>
    <row r="774" spans="2:2" x14ac:dyDescent="0.2">
      <c r="B774" s="7"/>
    </row>
    <row r="775" spans="2:2" x14ac:dyDescent="0.2">
      <c r="B775" s="7"/>
    </row>
    <row r="776" spans="2:2" x14ac:dyDescent="0.2">
      <c r="B776" s="7"/>
    </row>
    <row r="777" spans="2:2" x14ac:dyDescent="0.2">
      <c r="B777" s="7"/>
    </row>
    <row r="778" spans="2:2" x14ac:dyDescent="0.2">
      <c r="B778" s="7"/>
    </row>
    <row r="779" spans="2:2" x14ac:dyDescent="0.2">
      <c r="B779" s="7"/>
    </row>
    <row r="780" spans="2:2" x14ac:dyDescent="0.2">
      <c r="B780" s="7"/>
    </row>
    <row r="781" spans="2:2" x14ac:dyDescent="0.2">
      <c r="B781" s="7"/>
    </row>
    <row r="782" spans="2:2" x14ac:dyDescent="0.2">
      <c r="B782" s="7"/>
    </row>
    <row r="783" spans="2:2" x14ac:dyDescent="0.2">
      <c r="B783" s="7"/>
    </row>
    <row r="784" spans="2:2" x14ac:dyDescent="0.2">
      <c r="B784" s="7"/>
    </row>
    <row r="785" spans="2:2" x14ac:dyDescent="0.2">
      <c r="B785" s="7"/>
    </row>
    <row r="786" spans="2:2" x14ac:dyDescent="0.2">
      <c r="B786" s="7"/>
    </row>
    <row r="787" spans="2:2" x14ac:dyDescent="0.2">
      <c r="B787" s="7"/>
    </row>
    <row r="788" spans="2:2" x14ac:dyDescent="0.2">
      <c r="B788" s="7"/>
    </row>
    <row r="789" spans="2:2" x14ac:dyDescent="0.2">
      <c r="B789" s="7"/>
    </row>
    <row r="790" spans="2:2" x14ac:dyDescent="0.2">
      <c r="B790" s="7"/>
    </row>
    <row r="791" spans="2:2" x14ac:dyDescent="0.2">
      <c r="B791" s="7"/>
    </row>
    <row r="792" spans="2:2" x14ac:dyDescent="0.2">
      <c r="B792" s="7"/>
    </row>
    <row r="793" spans="2:2" x14ac:dyDescent="0.2">
      <c r="B793" s="7"/>
    </row>
    <row r="794" spans="2:2" x14ac:dyDescent="0.2">
      <c r="B794" s="7"/>
    </row>
    <row r="795" spans="2:2" x14ac:dyDescent="0.2">
      <c r="B795" s="7"/>
    </row>
    <row r="796" spans="2:2" x14ac:dyDescent="0.2">
      <c r="B796" s="7"/>
    </row>
    <row r="797" spans="2:2" x14ac:dyDescent="0.2">
      <c r="B797" s="7"/>
    </row>
    <row r="798" spans="2:2" x14ac:dyDescent="0.2">
      <c r="B798" s="7"/>
    </row>
    <row r="799" spans="2:2" x14ac:dyDescent="0.2">
      <c r="B799" s="7"/>
    </row>
    <row r="800" spans="2:2" x14ac:dyDescent="0.2">
      <c r="B800" s="7"/>
    </row>
    <row r="801" spans="2:2" x14ac:dyDescent="0.2">
      <c r="B801" s="7"/>
    </row>
    <row r="802" spans="2:2" x14ac:dyDescent="0.2">
      <c r="B802" s="7"/>
    </row>
    <row r="803" spans="2:2" x14ac:dyDescent="0.2">
      <c r="B803" s="7"/>
    </row>
    <row r="804" spans="2:2" x14ac:dyDescent="0.2">
      <c r="B804" s="7"/>
    </row>
    <row r="805" spans="2:2" x14ac:dyDescent="0.2">
      <c r="B805" s="7"/>
    </row>
    <row r="806" spans="2:2" x14ac:dyDescent="0.2">
      <c r="B806" s="7"/>
    </row>
    <row r="807" spans="2:2" x14ac:dyDescent="0.2">
      <c r="B807" s="7"/>
    </row>
    <row r="808" spans="2:2" x14ac:dyDescent="0.2">
      <c r="B808" s="7"/>
    </row>
    <row r="809" spans="2:2" x14ac:dyDescent="0.2">
      <c r="B809" s="7"/>
    </row>
    <row r="810" spans="2:2" x14ac:dyDescent="0.2">
      <c r="B810" s="7"/>
    </row>
    <row r="811" spans="2:2" x14ac:dyDescent="0.2">
      <c r="B811" s="7"/>
    </row>
    <row r="812" spans="2:2" x14ac:dyDescent="0.2">
      <c r="B812" s="7"/>
    </row>
    <row r="813" spans="2:2" x14ac:dyDescent="0.2">
      <c r="B813" s="7"/>
    </row>
    <row r="814" spans="2:2" x14ac:dyDescent="0.2">
      <c r="B814" s="7"/>
    </row>
    <row r="815" spans="2:2" x14ac:dyDescent="0.2">
      <c r="B815" s="7"/>
    </row>
    <row r="816" spans="2:2" x14ac:dyDescent="0.2">
      <c r="B816" s="7"/>
    </row>
    <row r="817" spans="2:2" x14ac:dyDescent="0.2">
      <c r="B817" s="7"/>
    </row>
    <row r="818" spans="2:2" x14ac:dyDescent="0.2">
      <c r="B818" s="7"/>
    </row>
    <row r="819" spans="2:2" x14ac:dyDescent="0.2">
      <c r="B819" s="7"/>
    </row>
    <row r="820" spans="2:2" x14ac:dyDescent="0.2">
      <c r="B820" s="7"/>
    </row>
    <row r="821" spans="2:2" x14ac:dyDescent="0.2">
      <c r="B821" s="7"/>
    </row>
    <row r="822" spans="2:2" x14ac:dyDescent="0.2">
      <c r="B822" s="7"/>
    </row>
    <row r="823" spans="2:2" x14ac:dyDescent="0.2">
      <c r="B823" s="7"/>
    </row>
    <row r="824" spans="2:2" x14ac:dyDescent="0.2">
      <c r="B824" s="7"/>
    </row>
    <row r="825" spans="2:2" x14ac:dyDescent="0.2">
      <c r="B825" s="7"/>
    </row>
    <row r="826" spans="2:2" x14ac:dyDescent="0.2">
      <c r="B826" s="7"/>
    </row>
    <row r="827" spans="2:2" x14ac:dyDescent="0.2">
      <c r="B827" s="7"/>
    </row>
    <row r="828" spans="2:2" x14ac:dyDescent="0.2">
      <c r="B828" s="7"/>
    </row>
    <row r="829" spans="2:2" x14ac:dyDescent="0.2">
      <c r="B829" s="7"/>
    </row>
    <row r="830" spans="2:2" x14ac:dyDescent="0.2">
      <c r="B830" s="7"/>
    </row>
    <row r="831" spans="2:2" x14ac:dyDescent="0.2">
      <c r="B831" s="7"/>
    </row>
    <row r="832" spans="2:2" x14ac:dyDescent="0.2">
      <c r="B832" s="7"/>
    </row>
    <row r="833" spans="2:2" x14ac:dyDescent="0.2">
      <c r="B833" s="7"/>
    </row>
    <row r="834" spans="2:2" x14ac:dyDescent="0.2">
      <c r="B834" s="7"/>
    </row>
    <row r="835" spans="2:2" x14ac:dyDescent="0.2">
      <c r="B835" s="7"/>
    </row>
    <row r="836" spans="2:2" x14ac:dyDescent="0.2">
      <c r="B836" s="7"/>
    </row>
    <row r="837" spans="2:2" x14ac:dyDescent="0.2">
      <c r="B837" s="7"/>
    </row>
    <row r="838" spans="2:2" x14ac:dyDescent="0.2">
      <c r="B838" s="7"/>
    </row>
    <row r="839" spans="2:2" x14ac:dyDescent="0.2">
      <c r="B839" s="7"/>
    </row>
    <row r="840" spans="2:2" x14ac:dyDescent="0.2">
      <c r="B840" s="7"/>
    </row>
    <row r="841" spans="2:2" x14ac:dyDescent="0.2">
      <c r="B841" s="7"/>
    </row>
    <row r="842" spans="2:2" x14ac:dyDescent="0.2">
      <c r="B842" s="7"/>
    </row>
    <row r="843" spans="2:2" x14ac:dyDescent="0.2">
      <c r="B843" s="7"/>
    </row>
    <row r="844" spans="2:2" x14ac:dyDescent="0.2">
      <c r="B844" s="7"/>
    </row>
    <row r="845" spans="2:2" x14ac:dyDescent="0.2">
      <c r="B845" s="7"/>
    </row>
    <row r="846" spans="2:2" x14ac:dyDescent="0.2">
      <c r="B846" s="7"/>
    </row>
    <row r="847" spans="2:2" x14ac:dyDescent="0.2">
      <c r="B847" s="7"/>
    </row>
    <row r="848" spans="2:2" x14ac:dyDescent="0.2">
      <c r="B848" s="7"/>
    </row>
    <row r="849" spans="2:2" x14ac:dyDescent="0.2">
      <c r="B849" s="7"/>
    </row>
    <row r="850" spans="2:2" x14ac:dyDescent="0.2">
      <c r="B850" s="7"/>
    </row>
    <row r="851" spans="2:2" x14ac:dyDescent="0.2">
      <c r="B851" s="7"/>
    </row>
    <row r="852" spans="2:2" x14ac:dyDescent="0.2">
      <c r="B852" s="7"/>
    </row>
    <row r="853" spans="2:2" x14ac:dyDescent="0.2">
      <c r="B853" s="7"/>
    </row>
    <row r="854" spans="2:2" x14ac:dyDescent="0.2">
      <c r="B854" s="7"/>
    </row>
    <row r="855" spans="2:2" x14ac:dyDescent="0.2">
      <c r="B855" s="7"/>
    </row>
    <row r="856" spans="2:2" x14ac:dyDescent="0.2">
      <c r="B856" s="7"/>
    </row>
    <row r="857" spans="2:2" x14ac:dyDescent="0.2">
      <c r="B857" s="7"/>
    </row>
    <row r="858" spans="2:2" x14ac:dyDescent="0.2">
      <c r="B858" s="7"/>
    </row>
    <row r="859" spans="2:2" x14ac:dyDescent="0.2">
      <c r="B859" s="7"/>
    </row>
    <row r="860" spans="2:2" x14ac:dyDescent="0.2">
      <c r="B860" s="7"/>
    </row>
    <row r="861" spans="2:2" x14ac:dyDescent="0.2">
      <c r="B861" s="7"/>
    </row>
    <row r="862" spans="2:2" x14ac:dyDescent="0.2">
      <c r="B862" s="7"/>
    </row>
    <row r="863" spans="2:2" x14ac:dyDescent="0.2">
      <c r="B863" s="7"/>
    </row>
    <row r="864" spans="2:2" x14ac:dyDescent="0.2">
      <c r="B864" s="7"/>
    </row>
    <row r="865" spans="2:2" x14ac:dyDescent="0.2">
      <c r="B865" s="7"/>
    </row>
    <row r="866" spans="2:2" x14ac:dyDescent="0.2">
      <c r="B866" s="7"/>
    </row>
    <row r="867" spans="2:2" x14ac:dyDescent="0.2">
      <c r="B867" s="7"/>
    </row>
    <row r="868" spans="2:2" x14ac:dyDescent="0.2">
      <c r="B868" s="7"/>
    </row>
    <row r="869" spans="2:2" x14ac:dyDescent="0.2">
      <c r="B869" s="7"/>
    </row>
    <row r="870" spans="2:2" x14ac:dyDescent="0.2">
      <c r="B870" s="7"/>
    </row>
    <row r="871" spans="2:2" x14ac:dyDescent="0.2">
      <c r="B871" s="7"/>
    </row>
    <row r="872" spans="2:2" x14ac:dyDescent="0.2">
      <c r="B872" s="7"/>
    </row>
    <row r="873" spans="2:2" x14ac:dyDescent="0.2">
      <c r="B873" s="7"/>
    </row>
    <row r="874" spans="2:2" x14ac:dyDescent="0.2">
      <c r="B874" s="7"/>
    </row>
    <row r="875" spans="2:2" x14ac:dyDescent="0.2">
      <c r="B875" s="7"/>
    </row>
    <row r="876" spans="2:2" x14ac:dyDescent="0.2">
      <c r="B876" s="7"/>
    </row>
    <row r="877" spans="2:2" x14ac:dyDescent="0.2">
      <c r="B877" s="7"/>
    </row>
    <row r="878" spans="2:2" x14ac:dyDescent="0.2">
      <c r="B878" s="7"/>
    </row>
    <row r="879" spans="2:2" x14ac:dyDescent="0.2">
      <c r="B879" s="7"/>
    </row>
    <row r="880" spans="2:2" x14ac:dyDescent="0.2">
      <c r="B880" s="7"/>
    </row>
    <row r="881" spans="2:2" x14ac:dyDescent="0.2">
      <c r="B881" s="7"/>
    </row>
    <row r="882" spans="2:2" x14ac:dyDescent="0.2">
      <c r="B882" s="7"/>
    </row>
    <row r="883" spans="2:2" x14ac:dyDescent="0.2">
      <c r="B883" s="7"/>
    </row>
    <row r="884" spans="2:2" x14ac:dyDescent="0.2">
      <c r="B884" s="7"/>
    </row>
    <row r="885" spans="2:2" x14ac:dyDescent="0.2">
      <c r="B885" s="7"/>
    </row>
    <row r="886" spans="2:2" x14ac:dyDescent="0.2">
      <c r="B886" s="7"/>
    </row>
    <row r="887" spans="2:2" x14ac:dyDescent="0.2">
      <c r="B887" s="7"/>
    </row>
    <row r="888" spans="2:2" x14ac:dyDescent="0.2">
      <c r="B888" s="7"/>
    </row>
    <row r="889" spans="2:2" x14ac:dyDescent="0.2">
      <c r="B889" s="7"/>
    </row>
    <row r="890" spans="2:2" x14ac:dyDescent="0.2">
      <c r="B890" s="7"/>
    </row>
    <row r="891" spans="2:2" x14ac:dyDescent="0.2">
      <c r="B891" s="7"/>
    </row>
    <row r="892" spans="2:2" x14ac:dyDescent="0.2">
      <c r="B892" s="7"/>
    </row>
    <row r="893" spans="2:2" x14ac:dyDescent="0.2">
      <c r="B893" s="7"/>
    </row>
    <row r="894" spans="2:2" x14ac:dyDescent="0.2">
      <c r="B894" s="7"/>
    </row>
    <row r="895" spans="2:2" x14ac:dyDescent="0.2">
      <c r="B895" s="7"/>
    </row>
    <row r="896" spans="2:2" x14ac:dyDescent="0.2">
      <c r="B896" s="7"/>
    </row>
    <row r="897" spans="2:2" x14ac:dyDescent="0.2">
      <c r="B897" s="7"/>
    </row>
    <row r="898" spans="2:2" x14ac:dyDescent="0.2">
      <c r="B898" s="7"/>
    </row>
    <row r="899" spans="2:2" x14ac:dyDescent="0.2">
      <c r="B899" s="7"/>
    </row>
    <row r="900" spans="2:2" x14ac:dyDescent="0.2">
      <c r="B900" s="7"/>
    </row>
    <row r="901" spans="2:2" x14ac:dyDescent="0.2">
      <c r="B901" s="7"/>
    </row>
    <row r="902" spans="2:2" x14ac:dyDescent="0.2">
      <c r="B902" s="7"/>
    </row>
    <row r="903" spans="2:2" x14ac:dyDescent="0.2">
      <c r="B903" s="7"/>
    </row>
    <row r="904" spans="2:2" x14ac:dyDescent="0.2">
      <c r="B904" s="7"/>
    </row>
    <row r="905" spans="2:2" x14ac:dyDescent="0.2">
      <c r="B905" s="7"/>
    </row>
    <row r="906" spans="2:2" x14ac:dyDescent="0.2">
      <c r="B906" s="7"/>
    </row>
    <row r="907" spans="2:2" x14ac:dyDescent="0.2">
      <c r="B907" s="7"/>
    </row>
    <row r="908" spans="2:2" x14ac:dyDescent="0.2">
      <c r="B908" s="7"/>
    </row>
    <row r="909" spans="2:2" x14ac:dyDescent="0.2">
      <c r="B909" s="7"/>
    </row>
    <row r="910" spans="2:2" x14ac:dyDescent="0.2">
      <c r="B910" s="7"/>
    </row>
    <row r="911" spans="2:2" x14ac:dyDescent="0.2">
      <c r="B911" s="7"/>
    </row>
    <row r="912" spans="2:2" x14ac:dyDescent="0.2">
      <c r="B912" s="7"/>
    </row>
    <row r="913" spans="2:2" x14ac:dyDescent="0.2">
      <c r="B913" s="7"/>
    </row>
    <row r="914" spans="2:2" x14ac:dyDescent="0.2">
      <c r="B914" s="7"/>
    </row>
    <row r="915" spans="2:2" x14ac:dyDescent="0.2">
      <c r="B915" s="7"/>
    </row>
    <row r="916" spans="2:2" x14ac:dyDescent="0.2">
      <c r="B916" s="7"/>
    </row>
    <row r="917" spans="2:2" x14ac:dyDescent="0.2">
      <c r="B917" s="7"/>
    </row>
    <row r="918" spans="2:2" x14ac:dyDescent="0.2">
      <c r="B918" s="7"/>
    </row>
    <row r="919" spans="2:2" x14ac:dyDescent="0.2">
      <c r="B919" s="7"/>
    </row>
    <row r="920" spans="2:2" x14ac:dyDescent="0.2">
      <c r="B920" s="7"/>
    </row>
    <row r="921" spans="2:2" x14ac:dyDescent="0.2">
      <c r="B921" s="7"/>
    </row>
    <row r="922" spans="2:2" x14ac:dyDescent="0.2">
      <c r="B922" s="7"/>
    </row>
    <row r="923" spans="2:2" x14ac:dyDescent="0.2">
      <c r="B923" s="7"/>
    </row>
    <row r="924" spans="2:2" x14ac:dyDescent="0.2">
      <c r="B924" s="7"/>
    </row>
    <row r="925" spans="2:2" x14ac:dyDescent="0.2">
      <c r="B925" s="7"/>
    </row>
    <row r="926" spans="2:2" x14ac:dyDescent="0.2">
      <c r="B926" s="7"/>
    </row>
    <row r="927" spans="2:2" x14ac:dyDescent="0.2">
      <c r="B927" s="7"/>
    </row>
    <row r="928" spans="2:2" x14ac:dyDescent="0.2">
      <c r="B928" s="7"/>
    </row>
    <row r="929" spans="2:2" x14ac:dyDescent="0.2">
      <c r="B929" s="7"/>
    </row>
    <row r="930" spans="2:2" x14ac:dyDescent="0.2">
      <c r="B930" s="7"/>
    </row>
    <row r="931" spans="2:2" x14ac:dyDescent="0.2">
      <c r="B931" s="7"/>
    </row>
    <row r="932" spans="2:2" x14ac:dyDescent="0.2">
      <c r="B932" s="7"/>
    </row>
    <row r="933" spans="2:2" x14ac:dyDescent="0.2">
      <c r="B933" s="7"/>
    </row>
    <row r="934" spans="2:2" x14ac:dyDescent="0.2">
      <c r="B934" s="7"/>
    </row>
    <row r="935" spans="2:2" x14ac:dyDescent="0.2">
      <c r="B935" s="7"/>
    </row>
    <row r="936" spans="2:2" x14ac:dyDescent="0.2">
      <c r="B936" s="7"/>
    </row>
    <row r="937" spans="2:2" x14ac:dyDescent="0.2">
      <c r="B937" s="7"/>
    </row>
    <row r="938" spans="2:2" x14ac:dyDescent="0.2">
      <c r="B938" s="7"/>
    </row>
    <row r="939" spans="2:2" x14ac:dyDescent="0.2">
      <c r="B939" s="7"/>
    </row>
    <row r="940" spans="2:2" x14ac:dyDescent="0.2">
      <c r="B940" s="7"/>
    </row>
    <row r="941" spans="2:2" x14ac:dyDescent="0.2">
      <c r="B941" s="7"/>
    </row>
    <row r="942" spans="2:2" x14ac:dyDescent="0.2">
      <c r="B942" s="7"/>
    </row>
    <row r="943" spans="2:2" x14ac:dyDescent="0.2">
      <c r="B943" s="7"/>
    </row>
    <row r="944" spans="2:2" x14ac:dyDescent="0.2">
      <c r="B944" s="7"/>
    </row>
    <row r="945" spans="2:2" x14ac:dyDescent="0.2">
      <c r="B945" s="7"/>
    </row>
    <row r="946" spans="2:2" x14ac:dyDescent="0.2">
      <c r="B946" s="7"/>
    </row>
    <row r="947" spans="2:2" x14ac:dyDescent="0.2">
      <c r="B947" s="7"/>
    </row>
    <row r="948" spans="2:2" x14ac:dyDescent="0.2">
      <c r="B948" s="7"/>
    </row>
    <row r="949" spans="2:2" x14ac:dyDescent="0.2">
      <c r="B949" s="7"/>
    </row>
    <row r="950" spans="2:2" x14ac:dyDescent="0.2">
      <c r="B950" s="7"/>
    </row>
    <row r="951" spans="2:2" x14ac:dyDescent="0.2">
      <c r="B951" s="7"/>
    </row>
    <row r="952" spans="2:2" x14ac:dyDescent="0.2">
      <c r="B952" s="7"/>
    </row>
    <row r="953" spans="2:2" x14ac:dyDescent="0.2">
      <c r="B953" s="7"/>
    </row>
    <row r="954" spans="2:2" x14ac:dyDescent="0.2">
      <c r="B954" s="7"/>
    </row>
    <row r="955" spans="2:2" x14ac:dyDescent="0.2">
      <c r="B955" s="7"/>
    </row>
    <row r="956" spans="2:2" x14ac:dyDescent="0.2">
      <c r="B956" s="7"/>
    </row>
    <row r="957" spans="2:2" x14ac:dyDescent="0.2">
      <c r="B957" s="7"/>
    </row>
    <row r="958" spans="2:2" x14ac:dyDescent="0.2">
      <c r="B958" s="7"/>
    </row>
    <row r="959" spans="2:2" x14ac:dyDescent="0.2">
      <c r="B959" s="7"/>
    </row>
    <row r="960" spans="2:2" x14ac:dyDescent="0.2">
      <c r="B960" s="7"/>
    </row>
    <row r="961" spans="2:2" x14ac:dyDescent="0.2">
      <c r="B961" s="7"/>
    </row>
    <row r="962" spans="2:2" x14ac:dyDescent="0.2">
      <c r="B962" s="7"/>
    </row>
    <row r="963" spans="2:2" x14ac:dyDescent="0.2">
      <c r="B963" s="7"/>
    </row>
    <row r="964" spans="2:2" x14ac:dyDescent="0.2">
      <c r="B964" s="7"/>
    </row>
    <row r="965" spans="2:2" x14ac:dyDescent="0.2">
      <c r="B965" s="7"/>
    </row>
    <row r="966" spans="2:2" x14ac:dyDescent="0.2">
      <c r="B966" s="7"/>
    </row>
    <row r="967" spans="2:2" x14ac:dyDescent="0.2">
      <c r="B967" s="7"/>
    </row>
    <row r="968" spans="2:2" x14ac:dyDescent="0.2">
      <c r="B968" s="7"/>
    </row>
    <row r="969" spans="2:2" x14ac:dyDescent="0.2">
      <c r="B969" s="7"/>
    </row>
    <row r="970" spans="2:2" x14ac:dyDescent="0.2">
      <c r="B970" s="7"/>
    </row>
    <row r="971" spans="2:2" x14ac:dyDescent="0.2">
      <c r="B971" s="7"/>
    </row>
    <row r="972" spans="2:2" x14ac:dyDescent="0.2">
      <c r="B972" s="7"/>
    </row>
    <row r="973" spans="2:2" x14ac:dyDescent="0.2">
      <c r="B973" s="7"/>
    </row>
    <row r="974" spans="2:2" x14ac:dyDescent="0.2">
      <c r="B974" s="7"/>
    </row>
    <row r="975" spans="2:2" x14ac:dyDescent="0.2">
      <c r="B975" s="7"/>
    </row>
    <row r="976" spans="2:2" x14ac:dyDescent="0.2">
      <c r="B976" s="7"/>
    </row>
    <row r="977" spans="2:2" x14ac:dyDescent="0.2">
      <c r="B977" s="7"/>
    </row>
    <row r="978" spans="2:2" x14ac:dyDescent="0.2">
      <c r="B978" s="7"/>
    </row>
    <row r="979" spans="2:2" x14ac:dyDescent="0.2">
      <c r="B979" s="7"/>
    </row>
    <row r="980" spans="2:2" x14ac:dyDescent="0.2">
      <c r="B980" s="7"/>
    </row>
    <row r="981" spans="2:2" x14ac:dyDescent="0.2">
      <c r="B981" s="7"/>
    </row>
    <row r="982" spans="2:2" x14ac:dyDescent="0.2">
      <c r="B982" s="7"/>
    </row>
    <row r="983" spans="2:2" x14ac:dyDescent="0.2">
      <c r="B983" s="7"/>
    </row>
    <row r="984" spans="2:2" x14ac:dyDescent="0.2">
      <c r="B984" s="7"/>
    </row>
    <row r="985" spans="2:2" x14ac:dyDescent="0.2">
      <c r="B985" s="7"/>
    </row>
    <row r="986" spans="2:2" x14ac:dyDescent="0.2">
      <c r="B986" s="7"/>
    </row>
    <row r="987" spans="2:2" x14ac:dyDescent="0.2">
      <c r="B987" s="7"/>
    </row>
    <row r="988" spans="2:2" x14ac:dyDescent="0.2">
      <c r="B988" s="7"/>
    </row>
    <row r="989" spans="2:2" x14ac:dyDescent="0.2">
      <c r="B989" s="7"/>
    </row>
    <row r="990" spans="2:2" x14ac:dyDescent="0.2">
      <c r="B990" s="7"/>
    </row>
    <row r="991" spans="2:2" x14ac:dyDescent="0.2">
      <c r="B991" s="7"/>
    </row>
    <row r="992" spans="2:2" x14ac:dyDescent="0.2">
      <c r="B992" s="7"/>
    </row>
    <row r="993" spans="2:2" x14ac:dyDescent="0.2">
      <c r="B993" s="7"/>
    </row>
    <row r="994" spans="2:2" x14ac:dyDescent="0.2">
      <c r="B994" s="7"/>
    </row>
    <row r="995" spans="2:2" x14ac:dyDescent="0.2">
      <c r="B995" s="7"/>
    </row>
    <row r="996" spans="2:2" x14ac:dyDescent="0.2">
      <c r="B996" s="7"/>
    </row>
    <row r="997" spans="2:2" x14ac:dyDescent="0.2">
      <c r="B997" s="7"/>
    </row>
    <row r="998" spans="2:2" x14ac:dyDescent="0.2">
      <c r="B998" s="7"/>
    </row>
    <row r="999" spans="2:2" x14ac:dyDescent="0.2">
      <c r="B999" s="7"/>
    </row>
    <row r="1000" spans="2:2" x14ac:dyDescent="0.2">
      <c r="B1000" s="7"/>
    </row>
    <row r="1001" spans="2:2" x14ac:dyDescent="0.2">
      <c r="B1001" s="7"/>
    </row>
    <row r="1002" spans="2:2" x14ac:dyDescent="0.2">
      <c r="B1002" s="7"/>
    </row>
    <row r="1003" spans="2:2" x14ac:dyDescent="0.2">
      <c r="B1003" s="7"/>
    </row>
    <row r="1004" spans="2:2" x14ac:dyDescent="0.2">
      <c r="B1004" s="7"/>
    </row>
    <row r="1005" spans="2:2" x14ac:dyDescent="0.2">
      <c r="B1005" s="7"/>
    </row>
    <row r="1006" spans="2:2" x14ac:dyDescent="0.2">
      <c r="B1006" s="7"/>
    </row>
    <row r="1007" spans="2:2" x14ac:dyDescent="0.2">
      <c r="B1007" s="7"/>
    </row>
    <row r="1008" spans="2:2" x14ac:dyDescent="0.2">
      <c r="B1008" s="7"/>
    </row>
    <row r="1009" spans="2:2" x14ac:dyDescent="0.2">
      <c r="B1009" s="7"/>
    </row>
    <row r="1010" spans="2:2" x14ac:dyDescent="0.2">
      <c r="B1010" s="7"/>
    </row>
    <row r="1011" spans="2:2" x14ac:dyDescent="0.2">
      <c r="B1011" s="7"/>
    </row>
    <row r="1012" spans="2:2" x14ac:dyDescent="0.2">
      <c r="B1012" s="7"/>
    </row>
    <row r="1013" spans="2:2" x14ac:dyDescent="0.2">
      <c r="B1013" s="7"/>
    </row>
    <row r="1014" spans="2:2" x14ac:dyDescent="0.2">
      <c r="B1014" s="7"/>
    </row>
    <row r="1015" spans="2:2" x14ac:dyDescent="0.2">
      <c r="B1015" s="7"/>
    </row>
    <row r="1016" spans="2:2" x14ac:dyDescent="0.2">
      <c r="B1016" s="7"/>
    </row>
    <row r="1017" spans="2:2" x14ac:dyDescent="0.2">
      <c r="B1017" s="7"/>
    </row>
    <row r="1018" spans="2:2" x14ac:dyDescent="0.2">
      <c r="B1018" s="7"/>
    </row>
    <row r="1019" spans="2:2" x14ac:dyDescent="0.2">
      <c r="B1019" s="7"/>
    </row>
    <row r="1020" spans="2:2" x14ac:dyDescent="0.2">
      <c r="B1020" s="7"/>
    </row>
    <row r="1021" spans="2:2" x14ac:dyDescent="0.2">
      <c r="B1021" s="7"/>
    </row>
    <row r="1022" spans="2:2" x14ac:dyDescent="0.2">
      <c r="B1022" s="7"/>
    </row>
    <row r="1023" spans="2:2" x14ac:dyDescent="0.2">
      <c r="B1023" s="7"/>
    </row>
    <row r="1024" spans="2:2" x14ac:dyDescent="0.2">
      <c r="B1024" s="7"/>
    </row>
    <row r="1025" spans="2:2" x14ac:dyDescent="0.2">
      <c r="B1025" s="7"/>
    </row>
    <row r="1026" spans="2:2" x14ac:dyDescent="0.2">
      <c r="B1026" s="7"/>
    </row>
    <row r="1027" spans="2:2" x14ac:dyDescent="0.2">
      <c r="B1027" s="7"/>
    </row>
    <row r="1028" spans="2:2" x14ac:dyDescent="0.2">
      <c r="B1028" s="7"/>
    </row>
    <row r="1029" spans="2:2" x14ac:dyDescent="0.2">
      <c r="B1029" s="7"/>
    </row>
    <row r="1030" spans="2:2" x14ac:dyDescent="0.2">
      <c r="B1030" s="7"/>
    </row>
    <row r="1031" spans="2:2" x14ac:dyDescent="0.2">
      <c r="B1031" s="7"/>
    </row>
    <row r="1032" spans="2:2" x14ac:dyDescent="0.2">
      <c r="B1032" s="7"/>
    </row>
    <row r="1033" spans="2:2" x14ac:dyDescent="0.2">
      <c r="B1033" s="7"/>
    </row>
    <row r="1034" spans="2:2" x14ac:dyDescent="0.2">
      <c r="B1034" s="7"/>
    </row>
    <row r="1035" spans="2:2" x14ac:dyDescent="0.2">
      <c r="B1035" s="7"/>
    </row>
    <row r="1036" spans="2:2" x14ac:dyDescent="0.2">
      <c r="B1036" s="7"/>
    </row>
    <row r="1037" spans="2:2" x14ac:dyDescent="0.2">
      <c r="B1037" s="7"/>
    </row>
    <row r="1038" spans="2:2" x14ac:dyDescent="0.2">
      <c r="B1038" s="7"/>
    </row>
    <row r="1039" spans="2:2" x14ac:dyDescent="0.2">
      <c r="B1039" s="7"/>
    </row>
    <row r="1040" spans="2:2" x14ac:dyDescent="0.2">
      <c r="B1040" s="7"/>
    </row>
    <row r="1041" spans="2:2" x14ac:dyDescent="0.2">
      <c r="B1041" s="7"/>
    </row>
    <row r="1042" spans="2:2" x14ac:dyDescent="0.2">
      <c r="B1042" s="7"/>
    </row>
    <row r="1043" spans="2:2" x14ac:dyDescent="0.2">
      <c r="B1043" s="7"/>
    </row>
    <row r="1044" spans="2:2" x14ac:dyDescent="0.2">
      <c r="B1044" s="7"/>
    </row>
    <row r="1045" spans="2:2" x14ac:dyDescent="0.2">
      <c r="B1045" s="7"/>
    </row>
    <row r="1046" spans="2:2" x14ac:dyDescent="0.2">
      <c r="B1046" s="7"/>
    </row>
    <row r="1047" spans="2:2" x14ac:dyDescent="0.2">
      <c r="B1047" s="7"/>
    </row>
    <row r="1048" spans="2:2" x14ac:dyDescent="0.2">
      <c r="B1048" s="7"/>
    </row>
    <row r="1049" spans="2:2" x14ac:dyDescent="0.2">
      <c r="B1049" s="7"/>
    </row>
    <row r="1050" spans="2:2" x14ac:dyDescent="0.2">
      <c r="B1050" s="7"/>
    </row>
    <row r="1051" spans="2:2" x14ac:dyDescent="0.2">
      <c r="B1051" s="7"/>
    </row>
    <row r="1052" spans="2:2" x14ac:dyDescent="0.2">
      <c r="B1052" s="7"/>
    </row>
    <row r="1053" spans="2:2" x14ac:dyDescent="0.2">
      <c r="B1053" s="7"/>
    </row>
    <row r="1054" spans="2:2" x14ac:dyDescent="0.2">
      <c r="B1054" s="7"/>
    </row>
    <row r="1055" spans="2:2" x14ac:dyDescent="0.2">
      <c r="B1055" s="7"/>
    </row>
    <row r="1056" spans="2:2" x14ac:dyDescent="0.2">
      <c r="B1056" s="7"/>
    </row>
    <row r="1057" spans="2:2" x14ac:dyDescent="0.2">
      <c r="B1057" s="7"/>
    </row>
    <row r="1058" spans="2:2" x14ac:dyDescent="0.2">
      <c r="B1058" s="7"/>
    </row>
    <row r="1059" spans="2:2" x14ac:dyDescent="0.2">
      <c r="B1059" s="7"/>
    </row>
    <row r="1060" spans="2:2" x14ac:dyDescent="0.2">
      <c r="B1060" s="7"/>
    </row>
    <row r="1061" spans="2:2" x14ac:dyDescent="0.2">
      <c r="B1061" s="7"/>
    </row>
    <row r="1062" spans="2:2" x14ac:dyDescent="0.2">
      <c r="B1062" s="7"/>
    </row>
    <row r="1063" spans="2:2" x14ac:dyDescent="0.2">
      <c r="B1063" s="7"/>
    </row>
    <row r="1064" spans="2:2" x14ac:dyDescent="0.2">
      <c r="B1064" s="7"/>
    </row>
    <row r="1065" spans="2:2" x14ac:dyDescent="0.2">
      <c r="B1065" s="7"/>
    </row>
    <row r="1066" spans="2:2" x14ac:dyDescent="0.2">
      <c r="B1066" s="7"/>
    </row>
    <row r="1067" spans="2:2" x14ac:dyDescent="0.2">
      <c r="B1067" s="7"/>
    </row>
    <row r="1068" spans="2:2" x14ac:dyDescent="0.2">
      <c r="B1068" s="7"/>
    </row>
    <row r="1069" spans="2:2" x14ac:dyDescent="0.2">
      <c r="B1069" s="7"/>
    </row>
    <row r="1070" spans="2:2" x14ac:dyDescent="0.2">
      <c r="B1070" s="7"/>
    </row>
    <row r="1071" spans="2:2" x14ac:dyDescent="0.2">
      <c r="B1071" s="7"/>
    </row>
    <row r="1072" spans="2:2" x14ac:dyDescent="0.2">
      <c r="B1072" s="7"/>
    </row>
    <row r="1073" spans="2:2" x14ac:dyDescent="0.2">
      <c r="B1073" s="7"/>
    </row>
    <row r="1074" spans="2:2" x14ac:dyDescent="0.2">
      <c r="B1074" s="7"/>
    </row>
    <row r="1075" spans="2:2" x14ac:dyDescent="0.2">
      <c r="B1075" s="7"/>
    </row>
    <row r="1076" spans="2:2" x14ac:dyDescent="0.2">
      <c r="B1076" s="7"/>
    </row>
    <row r="1077" spans="2:2" x14ac:dyDescent="0.2">
      <c r="B1077" s="7"/>
    </row>
    <row r="1078" spans="2:2" x14ac:dyDescent="0.2">
      <c r="B1078" s="7"/>
    </row>
    <row r="1079" spans="2:2" x14ac:dyDescent="0.2">
      <c r="B1079" s="7"/>
    </row>
    <row r="1080" spans="2:2" x14ac:dyDescent="0.2">
      <c r="B1080" s="7"/>
    </row>
    <row r="1081" spans="2:2" x14ac:dyDescent="0.2">
      <c r="B1081" s="7"/>
    </row>
    <row r="1082" spans="2:2" x14ac:dyDescent="0.2">
      <c r="B1082" s="7"/>
    </row>
    <row r="1083" spans="2:2" x14ac:dyDescent="0.2">
      <c r="B1083" s="7"/>
    </row>
    <row r="1084" spans="2:2" x14ac:dyDescent="0.2">
      <c r="B1084" s="7"/>
    </row>
    <row r="1085" spans="2:2" x14ac:dyDescent="0.2">
      <c r="B1085" s="7"/>
    </row>
    <row r="1086" spans="2:2" x14ac:dyDescent="0.2">
      <c r="B1086" s="7"/>
    </row>
    <row r="1087" spans="2:2" x14ac:dyDescent="0.2">
      <c r="B1087" s="7"/>
    </row>
    <row r="1088" spans="2:2" x14ac:dyDescent="0.2">
      <c r="B1088" s="7"/>
    </row>
    <row r="1089" spans="2:2" x14ac:dyDescent="0.2">
      <c r="B1089" s="7"/>
    </row>
    <row r="1090" spans="2:2" x14ac:dyDescent="0.2">
      <c r="B1090" s="7"/>
    </row>
    <row r="1091" spans="2:2" x14ac:dyDescent="0.2">
      <c r="B1091" s="7"/>
    </row>
    <row r="1092" spans="2:2" x14ac:dyDescent="0.2">
      <c r="B1092" s="7"/>
    </row>
    <row r="1093" spans="2:2" x14ac:dyDescent="0.2">
      <c r="B1093" s="7"/>
    </row>
    <row r="1094" spans="2:2" x14ac:dyDescent="0.2">
      <c r="B1094" s="7"/>
    </row>
    <row r="1095" spans="2:2" x14ac:dyDescent="0.2">
      <c r="B1095" s="7"/>
    </row>
    <row r="1096" spans="2:2" x14ac:dyDescent="0.2">
      <c r="B1096" s="7"/>
    </row>
    <row r="1097" spans="2:2" x14ac:dyDescent="0.2">
      <c r="B1097" s="7"/>
    </row>
    <row r="1098" spans="2:2" x14ac:dyDescent="0.2">
      <c r="B1098" s="7"/>
    </row>
    <row r="1099" spans="2:2" x14ac:dyDescent="0.2">
      <c r="B1099" s="7"/>
    </row>
    <row r="1100" spans="2:2" x14ac:dyDescent="0.2">
      <c r="B1100" s="7"/>
    </row>
    <row r="1101" spans="2:2" x14ac:dyDescent="0.2">
      <c r="B1101" s="7"/>
    </row>
    <row r="1102" spans="2:2" x14ac:dyDescent="0.2">
      <c r="B1102" s="7"/>
    </row>
    <row r="1103" spans="2:2" x14ac:dyDescent="0.2">
      <c r="B1103" s="7"/>
    </row>
    <row r="1104" spans="2:2" x14ac:dyDescent="0.2">
      <c r="B1104" s="7"/>
    </row>
    <row r="1105" spans="2:2" x14ac:dyDescent="0.2">
      <c r="B1105" s="7"/>
    </row>
    <row r="1106" spans="2:2" x14ac:dyDescent="0.2">
      <c r="B1106" s="7"/>
    </row>
    <row r="1107" spans="2:2" x14ac:dyDescent="0.2">
      <c r="B1107" s="7"/>
    </row>
    <row r="1108" spans="2:2" x14ac:dyDescent="0.2">
      <c r="B1108" s="7"/>
    </row>
    <row r="1109" spans="2:2" x14ac:dyDescent="0.2">
      <c r="B1109" s="7"/>
    </row>
    <row r="1110" spans="2:2" x14ac:dyDescent="0.2">
      <c r="B1110" s="7"/>
    </row>
    <row r="1111" spans="2:2" x14ac:dyDescent="0.2">
      <c r="B1111" s="7"/>
    </row>
    <row r="1112" spans="2:2" x14ac:dyDescent="0.2">
      <c r="B1112" s="7"/>
    </row>
    <row r="1113" spans="2:2" x14ac:dyDescent="0.2">
      <c r="B1113" s="7"/>
    </row>
    <row r="1114" spans="2:2" x14ac:dyDescent="0.2">
      <c r="B1114" s="7"/>
    </row>
    <row r="1115" spans="2:2" x14ac:dyDescent="0.2">
      <c r="B1115" s="7"/>
    </row>
    <row r="1116" spans="2:2" x14ac:dyDescent="0.2">
      <c r="B1116" s="7"/>
    </row>
    <row r="1117" spans="2:2" x14ac:dyDescent="0.2">
      <c r="B1117" s="7"/>
    </row>
    <row r="1118" spans="2:2" x14ac:dyDescent="0.2">
      <c r="B1118" s="7"/>
    </row>
    <row r="1119" spans="2:2" x14ac:dyDescent="0.2">
      <c r="B1119" s="7"/>
    </row>
    <row r="1120" spans="2:2" x14ac:dyDescent="0.2">
      <c r="B1120" s="7"/>
    </row>
    <row r="1121" spans="2:2" x14ac:dyDescent="0.2">
      <c r="B1121" s="7"/>
    </row>
    <row r="1122" spans="2:2" x14ac:dyDescent="0.2">
      <c r="B1122" s="7"/>
    </row>
    <row r="1123" spans="2:2" x14ac:dyDescent="0.2">
      <c r="B1123" s="7"/>
    </row>
    <row r="1124" spans="2:2" x14ac:dyDescent="0.2">
      <c r="B1124" s="7"/>
    </row>
    <row r="1125" spans="2:2" x14ac:dyDescent="0.2">
      <c r="B1125" s="7"/>
    </row>
    <row r="1126" spans="2:2" x14ac:dyDescent="0.2">
      <c r="B1126" s="7"/>
    </row>
    <row r="1127" spans="2:2" x14ac:dyDescent="0.2">
      <c r="B1127" s="7"/>
    </row>
    <row r="1128" spans="2:2" x14ac:dyDescent="0.2">
      <c r="B1128" s="7"/>
    </row>
    <row r="1129" spans="2:2" x14ac:dyDescent="0.2">
      <c r="B1129" s="7"/>
    </row>
    <row r="1130" spans="2:2" x14ac:dyDescent="0.2">
      <c r="B1130" s="7"/>
    </row>
    <row r="1131" spans="2:2" x14ac:dyDescent="0.2">
      <c r="B1131" s="7"/>
    </row>
    <row r="1132" spans="2:2" x14ac:dyDescent="0.2">
      <c r="B1132" s="7"/>
    </row>
    <row r="1133" spans="2:2" x14ac:dyDescent="0.2">
      <c r="B1133" s="7"/>
    </row>
    <row r="1134" spans="2:2" x14ac:dyDescent="0.2">
      <c r="B1134" s="7"/>
    </row>
    <row r="1135" spans="2:2" x14ac:dyDescent="0.2">
      <c r="B1135" s="7"/>
    </row>
    <row r="1136" spans="2:2" x14ac:dyDescent="0.2">
      <c r="B1136" s="7"/>
    </row>
    <row r="1137" spans="2:2" x14ac:dyDescent="0.2">
      <c r="B1137" s="7"/>
    </row>
    <row r="1138" spans="2:2" x14ac:dyDescent="0.2">
      <c r="B1138" s="7"/>
    </row>
    <row r="1139" spans="2:2" x14ac:dyDescent="0.2">
      <c r="B1139" s="7"/>
    </row>
    <row r="1140" spans="2:2" x14ac:dyDescent="0.2">
      <c r="B1140" s="7"/>
    </row>
    <row r="1141" spans="2:2" x14ac:dyDescent="0.2">
      <c r="B1141" s="7"/>
    </row>
    <row r="1142" spans="2:2" x14ac:dyDescent="0.2">
      <c r="B1142" s="7"/>
    </row>
    <row r="1143" spans="2:2" x14ac:dyDescent="0.2">
      <c r="B1143" s="7"/>
    </row>
    <row r="1144" spans="2:2" x14ac:dyDescent="0.2">
      <c r="B1144" s="7"/>
    </row>
    <row r="1145" spans="2:2" x14ac:dyDescent="0.2">
      <c r="B1145" s="7"/>
    </row>
    <row r="1146" spans="2:2" x14ac:dyDescent="0.2">
      <c r="B1146" s="7"/>
    </row>
    <row r="1147" spans="2:2" x14ac:dyDescent="0.2">
      <c r="B1147" s="7"/>
    </row>
    <row r="1148" spans="2:2" x14ac:dyDescent="0.2">
      <c r="B1148" s="7"/>
    </row>
    <row r="1149" spans="2:2" x14ac:dyDescent="0.2">
      <c r="B1149" s="7"/>
    </row>
    <row r="1150" spans="2:2" x14ac:dyDescent="0.2">
      <c r="B1150" s="7"/>
    </row>
    <row r="1151" spans="2:2" x14ac:dyDescent="0.2">
      <c r="B1151" s="7"/>
    </row>
    <row r="1152" spans="2:2" x14ac:dyDescent="0.2">
      <c r="B1152" s="7"/>
    </row>
    <row r="1153" spans="2:2" x14ac:dyDescent="0.2">
      <c r="B1153" s="7"/>
    </row>
    <row r="1154" spans="2:2" x14ac:dyDescent="0.2">
      <c r="B1154" s="7"/>
    </row>
    <row r="1155" spans="2:2" x14ac:dyDescent="0.2">
      <c r="B1155" s="7"/>
    </row>
    <row r="1156" spans="2:2" x14ac:dyDescent="0.2">
      <c r="B1156" s="7"/>
    </row>
    <row r="1157" spans="2:2" x14ac:dyDescent="0.2">
      <c r="B1157" s="7"/>
    </row>
    <row r="1158" spans="2:2" x14ac:dyDescent="0.2">
      <c r="B1158" s="7"/>
    </row>
    <row r="1159" spans="2:2" x14ac:dyDescent="0.2">
      <c r="B1159" s="7"/>
    </row>
    <row r="1160" spans="2:2" x14ac:dyDescent="0.2">
      <c r="B1160" s="7"/>
    </row>
    <row r="1161" spans="2:2" x14ac:dyDescent="0.2">
      <c r="B1161" s="7"/>
    </row>
    <row r="1162" spans="2:2" x14ac:dyDescent="0.2">
      <c r="B1162" s="7"/>
    </row>
    <row r="1163" spans="2:2" x14ac:dyDescent="0.2">
      <c r="B1163" s="7"/>
    </row>
    <row r="1164" spans="2:2" x14ac:dyDescent="0.2">
      <c r="B1164" s="7"/>
    </row>
    <row r="1165" spans="2:2" x14ac:dyDescent="0.2">
      <c r="B1165" s="7"/>
    </row>
    <row r="1166" spans="2:2" x14ac:dyDescent="0.2">
      <c r="B1166" s="7"/>
    </row>
    <row r="1167" spans="2:2" x14ac:dyDescent="0.2">
      <c r="B1167" s="7"/>
    </row>
    <row r="1168" spans="2:2" x14ac:dyDescent="0.2">
      <c r="B1168" s="7"/>
    </row>
    <row r="1169" spans="2:2" x14ac:dyDescent="0.2">
      <c r="B1169" s="7"/>
    </row>
    <row r="1170" spans="2:2" x14ac:dyDescent="0.2">
      <c r="B1170" s="7"/>
    </row>
    <row r="1171" spans="2:2" x14ac:dyDescent="0.2">
      <c r="B1171" s="7"/>
    </row>
    <row r="1172" spans="2:2" x14ac:dyDescent="0.2">
      <c r="B1172" s="7"/>
    </row>
    <row r="1173" spans="2:2" x14ac:dyDescent="0.2">
      <c r="B1173" s="7"/>
    </row>
    <row r="1174" spans="2:2" x14ac:dyDescent="0.2">
      <c r="B1174" s="7"/>
    </row>
    <row r="1175" spans="2:2" x14ac:dyDescent="0.2">
      <c r="B1175" s="7"/>
    </row>
    <row r="1176" spans="2:2" x14ac:dyDescent="0.2">
      <c r="B1176" s="7"/>
    </row>
    <row r="1177" spans="2:2" x14ac:dyDescent="0.2">
      <c r="B1177" s="7"/>
    </row>
    <row r="1178" spans="2:2" x14ac:dyDescent="0.2">
      <c r="B1178" s="7"/>
    </row>
    <row r="1179" spans="2:2" x14ac:dyDescent="0.2">
      <c r="B1179" s="7"/>
    </row>
    <row r="1180" spans="2:2" x14ac:dyDescent="0.2">
      <c r="B1180" s="7"/>
    </row>
    <row r="1181" spans="2:2" x14ac:dyDescent="0.2">
      <c r="B1181" s="7"/>
    </row>
    <row r="1182" spans="2:2" x14ac:dyDescent="0.2">
      <c r="B1182" s="7"/>
    </row>
    <row r="1183" spans="2:2" x14ac:dyDescent="0.2">
      <c r="B1183" s="7"/>
    </row>
    <row r="1184" spans="2:2" x14ac:dyDescent="0.2">
      <c r="B1184" s="7"/>
    </row>
    <row r="1185" spans="2:2" x14ac:dyDescent="0.2">
      <c r="B1185" s="7"/>
    </row>
    <row r="1186" spans="2:2" x14ac:dyDescent="0.2">
      <c r="B1186" s="7"/>
    </row>
    <row r="1187" spans="2:2" x14ac:dyDescent="0.2">
      <c r="B1187" s="7"/>
    </row>
    <row r="1188" spans="2:2" x14ac:dyDescent="0.2">
      <c r="B1188" s="7"/>
    </row>
    <row r="1189" spans="2:2" x14ac:dyDescent="0.2">
      <c r="B1189" s="7"/>
    </row>
    <row r="1190" spans="2:2" x14ac:dyDescent="0.2">
      <c r="B1190" s="7"/>
    </row>
    <row r="1191" spans="2:2" x14ac:dyDescent="0.2">
      <c r="B1191" s="7"/>
    </row>
    <row r="1192" spans="2:2" x14ac:dyDescent="0.2">
      <c r="B1192" s="7"/>
    </row>
    <row r="1193" spans="2:2" x14ac:dyDescent="0.2">
      <c r="B1193" s="7"/>
    </row>
    <row r="1194" spans="2:2" x14ac:dyDescent="0.2">
      <c r="B1194" s="7"/>
    </row>
    <row r="1195" spans="2:2" x14ac:dyDescent="0.2">
      <c r="B1195" s="7"/>
    </row>
    <row r="1196" spans="2:2" x14ac:dyDescent="0.2">
      <c r="B1196" s="7"/>
    </row>
    <row r="1197" spans="2:2" x14ac:dyDescent="0.2">
      <c r="B1197" s="7"/>
    </row>
    <row r="1198" spans="2:2" x14ac:dyDescent="0.2">
      <c r="B1198" s="7"/>
    </row>
    <row r="1199" spans="2:2" x14ac:dyDescent="0.2">
      <c r="B1199" s="7"/>
    </row>
    <row r="1200" spans="2:2" x14ac:dyDescent="0.2">
      <c r="B1200" s="7"/>
    </row>
    <row r="1201" spans="2:2" x14ac:dyDescent="0.2">
      <c r="B1201" s="7"/>
    </row>
    <row r="1202" spans="2:2" x14ac:dyDescent="0.2">
      <c r="B1202" s="7"/>
    </row>
    <row r="1203" spans="2:2" x14ac:dyDescent="0.2">
      <c r="B1203" s="7"/>
    </row>
    <row r="1204" spans="2:2" x14ac:dyDescent="0.2">
      <c r="B1204" s="7"/>
    </row>
    <row r="1205" spans="2:2" x14ac:dyDescent="0.2">
      <c r="B1205" s="7"/>
    </row>
    <row r="1206" spans="2:2" x14ac:dyDescent="0.2">
      <c r="B1206" s="7"/>
    </row>
    <row r="1207" spans="2:2" x14ac:dyDescent="0.2">
      <c r="B1207" s="7"/>
    </row>
    <row r="1208" spans="2:2" x14ac:dyDescent="0.2">
      <c r="B1208" s="7"/>
    </row>
    <row r="1209" spans="2:2" x14ac:dyDescent="0.2">
      <c r="B1209" s="7"/>
    </row>
    <row r="1210" spans="2:2" x14ac:dyDescent="0.2">
      <c r="B1210" s="7"/>
    </row>
    <row r="1211" spans="2:2" x14ac:dyDescent="0.2">
      <c r="B1211" s="7"/>
    </row>
    <row r="1212" spans="2:2" x14ac:dyDescent="0.2">
      <c r="B1212" s="7"/>
    </row>
    <row r="1213" spans="2:2" x14ac:dyDescent="0.2">
      <c r="B1213" s="7"/>
    </row>
    <row r="1214" spans="2:2" x14ac:dyDescent="0.2">
      <c r="B1214" s="7"/>
    </row>
    <row r="1215" spans="2:2" x14ac:dyDescent="0.2">
      <c r="B1215" s="7"/>
    </row>
    <row r="1216" spans="2:2" x14ac:dyDescent="0.2">
      <c r="B1216" s="7"/>
    </row>
    <row r="1217" spans="2:2" x14ac:dyDescent="0.2">
      <c r="B1217" s="7"/>
    </row>
    <row r="1218" spans="2:2" x14ac:dyDescent="0.2">
      <c r="B1218" s="7"/>
    </row>
    <row r="1219" spans="2:2" x14ac:dyDescent="0.2">
      <c r="B1219" s="7"/>
    </row>
    <row r="1220" spans="2:2" x14ac:dyDescent="0.2">
      <c r="B1220" s="7"/>
    </row>
    <row r="1221" spans="2:2" x14ac:dyDescent="0.2">
      <c r="B1221" s="7"/>
    </row>
    <row r="1222" spans="2:2" x14ac:dyDescent="0.2">
      <c r="B1222" s="7"/>
    </row>
    <row r="1223" spans="2:2" x14ac:dyDescent="0.2">
      <c r="B1223" s="7"/>
    </row>
    <row r="1224" spans="2:2" x14ac:dyDescent="0.2">
      <c r="B1224" s="7"/>
    </row>
    <row r="1225" spans="2:2" x14ac:dyDescent="0.2">
      <c r="B1225" s="7"/>
    </row>
    <row r="1226" spans="2:2" x14ac:dyDescent="0.2">
      <c r="B1226" s="7"/>
    </row>
    <row r="1227" spans="2:2" x14ac:dyDescent="0.2">
      <c r="B1227" s="7"/>
    </row>
    <row r="1228" spans="2:2" x14ac:dyDescent="0.2">
      <c r="B1228" s="7"/>
    </row>
    <row r="1229" spans="2:2" x14ac:dyDescent="0.2">
      <c r="B1229" s="7"/>
    </row>
    <row r="1230" spans="2:2" x14ac:dyDescent="0.2">
      <c r="B1230" s="7"/>
    </row>
    <row r="1231" spans="2:2" x14ac:dyDescent="0.2">
      <c r="B1231" s="7"/>
    </row>
    <row r="1232" spans="2:2" x14ac:dyDescent="0.2">
      <c r="B1232" s="7"/>
    </row>
    <row r="1233" spans="2:2" x14ac:dyDescent="0.2">
      <c r="B1233" s="7"/>
    </row>
    <row r="1234" spans="2:2" x14ac:dyDescent="0.2">
      <c r="B1234" s="7"/>
    </row>
    <row r="1235" spans="2:2" x14ac:dyDescent="0.2">
      <c r="B1235" s="7"/>
    </row>
    <row r="1236" spans="2:2" x14ac:dyDescent="0.2">
      <c r="B1236" s="7"/>
    </row>
    <row r="1237" spans="2:2" x14ac:dyDescent="0.2">
      <c r="B1237" s="7"/>
    </row>
    <row r="1238" spans="2:2" x14ac:dyDescent="0.2">
      <c r="B1238" s="7"/>
    </row>
    <row r="1239" spans="2:2" x14ac:dyDescent="0.2">
      <c r="B1239" s="7"/>
    </row>
    <row r="1240" spans="2:2" x14ac:dyDescent="0.2">
      <c r="B1240" s="7"/>
    </row>
    <row r="1241" spans="2:2" x14ac:dyDescent="0.2">
      <c r="B1241" s="7"/>
    </row>
    <row r="1242" spans="2:2" x14ac:dyDescent="0.2">
      <c r="B1242" s="7"/>
    </row>
    <row r="1243" spans="2:2" x14ac:dyDescent="0.2">
      <c r="B1243" s="7"/>
    </row>
    <row r="1244" spans="2:2" x14ac:dyDescent="0.2">
      <c r="B1244" s="7"/>
    </row>
    <row r="1245" spans="2:2" x14ac:dyDescent="0.2">
      <c r="B1245" s="7"/>
    </row>
    <row r="1246" spans="2:2" x14ac:dyDescent="0.2">
      <c r="B1246" s="7"/>
    </row>
    <row r="1247" spans="2:2" x14ac:dyDescent="0.2">
      <c r="B1247" s="7"/>
    </row>
    <row r="1248" spans="2:2" x14ac:dyDescent="0.2">
      <c r="B1248" s="7"/>
    </row>
    <row r="1249" spans="2:2" x14ac:dyDescent="0.2">
      <c r="B1249" s="7"/>
    </row>
    <row r="1250" spans="2:2" x14ac:dyDescent="0.2">
      <c r="B1250" s="7"/>
    </row>
    <row r="1251" spans="2:2" x14ac:dyDescent="0.2">
      <c r="B1251" s="7"/>
    </row>
    <row r="1252" spans="2:2" x14ac:dyDescent="0.2">
      <c r="B1252" s="7"/>
    </row>
    <row r="1253" spans="2:2" x14ac:dyDescent="0.2">
      <c r="B1253" s="7"/>
    </row>
    <row r="1254" spans="2:2" x14ac:dyDescent="0.2">
      <c r="B1254" s="7"/>
    </row>
    <row r="1255" spans="2:2" x14ac:dyDescent="0.2">
      <c r="B1255" s="7"/>
    </row>
    <row r="1256" spans="2:2" x14ac:dyDescent="0.2">
      <c r="B1256" s="7"/>
    </row>
    <row r="1257" spans="2:2" x14ac:dyDescent="0.2">
      <c r="B1257" s="7"/>
    </row>
    <row r="1258" spans="2:2" x14ac:dyDescent="0.2">
      <c r="B1258" s="7"/>
    </row>
    <row r="1259" spans="2:2" x14ac:dyDescent="0.2">
      <c r="B1259" s="7"/>
    </row>
    <row r="1260" spans="2:2" x14ac:dyDescent="0.2">
      <c r="B1260" s="7"/>
    </row>
    <row r="1261" spans="2:2" x14ac:dyDescent="0.2">
      <c r="B1261" s="7"/>
    </row>
    <row r="1262" spans="2:2" x14ac:dyDescent="0.2">
      <c r="B1262" s="7"/>
    </row>
    <row r="1263" spans="2:2" x14ac:dyDescent="0.2">
      <c r="B1263" s="7"/>
    </row>
    <row r="1264" spans="2:2" x14ac:dyDescent="0.2">
      <c r="B1264" s="7"/>
    </row>
    <row r="1265" spans="2:2" x14ac:dyDescent="0.2">
      <c r="B1265" s="7"/>
    </row>
    <row r="1266" spans="2:2" x14ac:dyDescent="0.2">
      <c r="B1266" s="7"/>
    </row>
    <row r="1267" spans="2:2" x14ac:dyDescent="0.2">
      <c r="B1267" s="7"/>
    </row>
    <row r="1268" spans="2:2" x14ac:dyDescent="0.2">
      <c r="B1268" s="7"/>
    </row>
    <row r="1269" spans="2:2" x14ac:dyDescent="0.2">
      <c r="B1269" s="7"/>
    </row>
    <row r="1270" spans="2:2" x14ac:dyDescent="0.2">
      <c r="B1270" s="7"/>
    </row>
    <row r="1271" spans="2:2" x14ac:dyDescent="0.2">
      <c r="B1271" s="7"/>
    </row>
    <row r="1272" spans="2:2" x14ac:dyDescent="0.2">
      <c r="B1272" s="7"/>
    </row>
    <row r="1273" spans="2:2" x14ac:dyDescent="0.2">
      <c r="B1273" s="7"/>
    </row>
    <row r="1274" spans="2:2" x14ac:dyDescent="0.2">
      <c r="B1274" s="7"/>
    </row>
    <row r="1275" spans="2:2" x14ac:dyDescent="0.2">
      <c r="B1275" s="7"/>
    </row>
    <row r="1276" spans="2:2" x14ac:dyDescent="0.2">
      <c r="B1276" s="7"/>
    </row>
    <row r="1277" spans="2:2" x14ac:dyDescent="0.2">
      <c r="B1277" s="7"/>
    </row>
    <row r="1278" spans="2:2" x14ac:dyDescent="0.2">
      <c r="B1278" s="7"/>
    </row>
    <row r="1279" spans="2:2" x14ac:dyDescent="0.2">
      <c r="B1279" s="7"/>
    </row>
    <row r="1280" spans="2:2" x14ac:dyDescent="0.2">
      <c r="B1280" s="7"/>
    </row>
    <row r="1281" spans="2:2" x14ac:dyDescent="0.2">
      <c r="B1281" s="7"/>
    </row>
    <row r="1282" spans="2:2" x14ac:dyDescent="0.2">
      <c r="B1282" s="7"/>
    </row>
    <row r="1283" spans="2:2" x14ac:dyDescent="0.2">
      <c r="B1283" s="7"/>
    </row>
    <row r="1284" spans="2:2" x14ac:dyDescent="0.2">
      <c r="B1284" s="7"/>
    </row>
    <row r="1285" spans="2:2" x14ac:dyDescent="0.2">
      <c r="B1285" s="7"/>
    </row>
    <row r="1286" spans="2:2" x14ac:dyDescent="0.2">
      <c r="B1286" s="7"/>
    </row>
    <row r="1287" spans="2:2" x14ac:dyDescent="0.2">
      <c r="B1287" s="7"/>
    </row>
    <row r="1288" spans="2:2" x14ac:dyDescent="0.2">
      <c r="B1288" s="7"/>
    </row>
    <row r="1289" spans="2:2" x14ac:dyDescent="0.2">
      <c r="B1289" s="7"/>
    </row>
    <row r="1290" spans="2:2" x14ac:dyDescent="0.2">
      <c r="B1290" s="7"/>
    </row>
    <row r="1291" spans="2:2" x14ac:dyDescent="0.2">
      <c r="B1291" s="7"/>
    </row>
    <row r="1292" spans="2:2" x14ac:dyDescent="0.2">
      <c r="B1292" s="7"/>
    </row>
    <row r="1293" spans="2:2" x14ac:dyDescent="0.2">
      <c r="B1293" s="7"/>
    </row>
    <row r="1294" spans="2:2" x14ac:dyDescent="0.2">
      <c r="B1294" s="7"/>
    </row>
    <row r="1295" spans="2:2" x14ac:dyDescent="0.2">
      <c r="B1295" s="7"/>
    </row>
    <row r="1296" spans="2:2" x14ac:dyDescent="0.2">
      <c r="B1296" s="7"/>
    </row>
    <row r="1297" spans="2:2" x14ac:dyDescent="0.2">
      <c r="B1297" s="7"/>
    </row>
    <row r="1298" spans="2:2" x14ac:dyDescent="0.2">
      <c r="B1298" s="7"/>
    </row>
    <row r="1299" spans="2:2" x14ac:dyDescent="0.2">
      <c r="B1299" s="7"/>
    </row>
    <row r="1300" spans="2:2" x14ac:dyDescent="0.2">
      <c r="B1300" s="7"/>
    </row>
    <row r="1301" spans="2:2" x14ac:dyDescent="0.2">
      <c r="B1301" s="7"/>
    </row>
    <row r="1302" spans="2:2" x14ac:dyDescent="0.2">
      <c r="B1302" s="7"/>
    </row>
    <row r="1303" spans="2:2" x14ac:dyDescent="0.2">
      <c r="B1303" s="7"/>
    </row>
    <row r="1304" spans="2:2" x14ac:dyDescent="0.2">
      <c r="B1304" s="7"/>
    </row>
    <row r="1305" spans="2:2" x14ac:dyDescent="0.2">
      <c r="B1305" s="7"/>
    </row>
    <row r="1306" spans="2:2" x14ac:dyDescent="0.2">
      <c r="B1306" s="7"/>
    </row>
    <row r="1307" spans="2:2" x14ac:dyDescent="0.2">
      <c r="B1307" s="7"/>
    </row>
    <row r="1308" spans="2:2" x14ac:dyDescent="0.2">
      <c r="B1308" s="7"/>
    </row>
    <row r="1309" spans="2:2" x14ac:dyDescent="0.2">
      <c r="B1309" s="7"/>
    </row>
    <row r="1310" spans="2:2" x14ac:dyDescent="0.2">
      <c r="B1310" s="7"/>
    </row>
    <row r="1311" spans="2:2" x14ac:dyDescent="0.2">
      <c r="B1311" s="7"/>
    </row>
    <row r="1312" spans="2:2" x14ac:dyDescent="0.2">
      <c r="B1312" s="7"/>
    </row>
    <row r="1313" spans="2:2" x14ac:dyDescent="0.2">
      <c r="B1313" s="7"/>
    </row>
    <row r="1314" spans="2:2" x14ac:dyDescent="0.2">
      <c r="B1314" s="7"/>
    </row>
    <row r="1315" spans="2:2" x14ac:dyDescent="0.2">
      <c r="B1315" s="7"/>
    </row>
    <row r="1316" spans="2:2" x14ac:dyDescent="0.2">
      <c r="B1316" s="7"/>
    </row>
    <row r="1317" spans="2:2" x14ac:dyDescent="0.2">
      <c r="B1317" s="7"/>
    </row>
    <row r="1318" spans="2:2" x14ac:dyDescent="0.2">
      <c r="B1318" s="7"/>
    </row>
    <row r="1319" spans="2:2" x14ac:dyDescent="0.2">
      <c r="B1319" s="7"/>
    </row>
    <row r="1320" spans="2:2" x14ac:dyDescent="0.2">
      <c r="B1320" s="7"/>
    </row>
    <row r="1321" spans="2:2" x14ac:dyDescent="0.2">
      <c r="B1321" s="7"/>
    </row>
    <row r="1322" spans="2:2" x14ac:dyDescent="0.2">
      <c r="B1322" s="7"/>
    </row>
    <row r="1323" spans="2:2" x14ac:dyDescent="0.2">
      <c r="B1323" s="7"/>
    </row>
    <row r="1324" spans="2:2" x14ac:dyDescent="0.2">
      <c r="B1324" s="7"/>
    </row>
    <row r="1325" spans="2:2" x14ac:dyDescent="0.2">
      <c r="B1325" s="7"/>
    </row>
    <row r="1326" spans="2:2" x14ac:dyDescent="0.2">
      <c r="B1326" s="7"/>
    </row>
    <row r="1327" spans="2:2" x14ac:dyDescent="0.2">
      <c r="B1327" s="7"/>
    </row>
    <row r="1328" spans="2:2" x14ac:dyDescent="0.2">
      <c r="B1328" s="7"/>
    </row>
    <row r="1329" spans="2:2" x14ac:dyDescent="0.2">
      <c r="B1329" s="7"/>
    </row>
    <row r="1330" spans="2:2" x14ac:dyDescent="0.2">
      <c r="B1330" s="7"/>
    </row>
    <row r="1331" spans="2:2" x14ac:dyDescent="0.2">
      <c r="B1331" s="7"/>
    </row>
    <row r="1332" spans="2:2" x14ac:dyDescent="0.2">
      <c r="B1332" s="7"/>
    </row>
    <row r="1333" spans="2:2" x14ac:dyDescent="0.2">
      <c r="B1333" s="7"/>
    </row>
    <row r="1334" spans="2:2" x14ac:dyDescent="0.2">
      <c r="B1334" s="7"/>
    </row>
    <row r="1335" spans="2:2" x14ac:dyDescent="0.2">
      <c r="B1335" s="7"/>
    </row>
    <row r="1336" spans="2:2" x14ac:dyDescent="0.2">
      <c r="B1336" s="7"/>
    </row>
    <row r="1337" spans="2:2" x14ac:dyDescent="0.2">
      <c r="B1337" s="7"/>
    </row>
    <row r="1338" spans="2:2" x14ac:dyDescent="0.2">
      <c r="B1338" s="7"/>
    </row>
    <row r="1339" spans="2:2" x14ac:dyDescent="0.2">
      <c r="B1339" s="7"/>
    </row>
    <row r="1340" spans="2:2" x14ac:dyDescent="0.2">
      <c r="B1340" s="7"/>
    </row>
    <row r="1341" spans="2:2" x14ac:dyDescent="0.2">
      <c r="B1341" s="7"/>
    </row>
    <row r="1342" spans="2:2" x14ac:dyDescent="0.2">
      <c r="B1342" s="7"/>
    </row>
    <row r="1343" spans="2:2" x14ac:dyDescent="0.2">
      <c r="B1343" s="7"/>
    </row>
    <row r="1344" spans="2:2" x14ac:dyDescent="0.2">
      <c r="B1344" s="7"/>
    </row>
    <row r="1345" spans="2:2" x14ac:dyDescent="0.2">
      <c r="B1345" s="7"/>
    </row>
    <row r="1346" spans="2:2" x14ac:dyDescent="0.2">
      <c r="B1346" s="7"/>
    </row>
    <row r="1347" spans="2:2" x14ac:dyDescent="0.2">
      <c r="B1347" s="7"/>
    </row>
    <row r="1348" spans="2:2" x14ac:dyDescent="0.2">
      <c r="B1348" s="7"/>
    </row>
    <row r="1349" spans="2:2" x14ac:dyDescent="0.2">
      <c r="B1349" s="7"/>
    </row>
    <row r="1350" spans="2:2" x14ac:dyDescent="0.2">
      <c r="B1350" s="7"/>
    </row>
    <row r="1351" spans="2:2" x14ac:dyDescent="0.2">
      <c r="B1351" s="7"/>
    </row>
    <row r="1352" spans="2:2" x14ac:dyDescent="0.2">
      <c r="B1352" s="7"/>
    </row>
    <row r="1353" spans="2:2" x14ac:dyDescent="0.2">
      <c r="B1353" s="7"/>
    </row>
    <row r="1354" spans="2:2" x14ac:dyDescent="0.2">
      <c r="B1354" s="7"/>
    </row>
    <row r="1355" spans="2:2" x14ac:dyDescent="0.2">
      <c r="B1355" s="7"/>
    </row>
    <row r="1356" spans="2:2" x14ac:dyDescent="0.2">
      <c r="B1356" s="7"/>
    </row>
    <row r="1357" spans="2:2" x14ac:dyDescent="0.2">
      <c r="B1357" s="7"/>
    </row>
    <row r="1358" spans="2:2" x14ac:dyDescent="0.2">
      <c r="B1358" s="7"/>
    </row>
    <row r="1359" spans="2:2" x14ac:dyDescent="0.2">
      <c r="B1359" s="7"/>
    </row>
    <row r="1360" spans="2:2" x14ac:dyDescent="0.2">
      <c r="B1360" s="7"/>
    </row>
    <row r="1361" spans="2:2" x14ac:dyDescent="0.2">
      <c r="B1361" s="7"/>
    </row>
    <row r="1362" spans="2:2" x14ac:dyDescent="0.2">
      <c r="B1362" s="7"/>
    </row>
    <row r="1363" spans="2:2" x14ac:dyDescent="0.2">
      <c r="B1363" s="7"/>
    </row>
    <row r="1364" spans="2:2" x14ac:dyDescent="0.2">
      <c r="B1364" s="7"/>
    </row>
    <row r="1365" spans="2:2" x14ac:dyDescent="0.2">
      <c r="B1365" s="7"/>
    </row>
    <row r="1366" spans="2:2" x14ac:dyDescent="0.2">
      <c r="B1366" s="7"/>
    </row>
    <row r="1367" spans="2:2" x14ac:dyDescent="0.2">
      <c r="B1367" s="7"/>
    </row>
    <row r="1368" spans="2:2" x14ac:dyDescent="0.2">
      <c r="B1368" s="7"/>
    </row>
    <row r="1369" spans="2:2" x14ac:dyDescent="0.2">
      <c r="B1369" s="7"/>
    </row>
    <row r="1370" spans="2:2" x14ac:dyDescent="0.2">
      <c r="B1370" s="7"/>
    </row>
    <row r="1371" spans="2:2" x14ac:dyDescent="0.2">
      <c r="B1371" s="7"/>
    </row>
    <row r="1372" spans="2:2" x14ac:dyDescent="0.2">
      <c r="B1372" s="7"/>
    </row>
    <row r="1373" spans="2:2" x14ac:dyDescent="0.2">
      <c r="B1373" s="7"/>
    </row>
    <row r="1374" spans="2:2" x14ac:dyDescent="0.2">
      <c r="B1374" s="7"/>
    </row>
    <row r="1375" spans="2:2" x14ac:dyDescent="0.2">
      <c r="B1375" s="7"/>
    </row>
    <row r="1376" spans="2:2" x14ac:dyDescent="0.2">
      <c r="B1376" s="7"/>
    </row>
    <row r="1377" spans="2:2" x14ac:dyDescent="0.2">
      <c r="B1377" s="7"/>
    </row>
    <row r="1378" spans="2:2" x14ac:dyDescent="0.2">
      <c r="B1378" s="7"/>
    </row>
    <row r="1379" spans="2:2" x14ac:dyDescent="0.2">
      <c r="B1379" s="7"/>
    </row>
    <row r="1380" spans="2:2" x14ac:dyDescent="0.2">
      <c r="B1380" s="7"/>
    </row>
    <row r="1381" spans="2:2" x14ac:dyDescent="0.2">
      <c r="B1381" s="7"/>
    </row>
    <row r="1382" spans="2:2" x14ac:dyDescent="0.2">
      <c r="B1382" s="7"/>
    </row>
    <row r="1383" spans="2:2" x14ac:dyDescent="0.2">
      <c r="B1383" s="7"/>
    </row>
    <row r="1384" spans="2:2" x14ac:dyDescent="0.2">
      <c r="B1384" s="7"/>
    </row>
    <row r="1385" spans="2:2" x14ac:dyDescent="0.2">
      <c r="B1385" s="7"/>
    </row>
    <row r="1386" spans="2:2" x14ac:dyDescent="0.2">
      <c r="B1386" s="7"/>
    </row>
    <row r="1387" spans="2:2" x14ac:dyDescent="0.2">
      <c r="B1387" s="7"/>
    </row>
    <row r="1388" spans="2:2" x14ac:dyDescent="0.2">
      <c r="B1388" s="7"/>
    </row>
    <row r="1389" spans="2:2" x14ac:dyDescent="0.2">
      <c r="B1389" s="7"/>
    </row>
    <row r="1390" spans="2:2" x14ac:dyDescent="0.2">
      <c r="B1390" s="7"/>
    </row>
    <row r="1391" spans="2:2" x14ac:dyDescent="0.2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F507-C644-42FF-B30A-D30FD6F56406}">
  <dimension ref="A1:N1391"/>
  <sheetViews>
    <sheetView tabSelected="1" workbookViewId="0">
      <selection activeCell="E14" sqref="E14"/>
    </sheetView>
  </sheetViews>
  <sheetFormatPr defaultRowHeight="12.75" x14ac:dyDescent="0.2"/>
  <cols>
    <col min="1" max="1" width="5.85546875" style="14" bestFit="1" customWidth="1"/>
    <col min="2" max="2" width="12.140625" customWidth="1"/>
    <col min="3" max="3" width="14.5703125" customWidth="1"/>
    <col min="4" max="4" width="17.42578125" customWidth="1"/>
    <col min="5" max="5" width="12.140625" customWidth="1"/>
    <col min="6" max="6" width="17.7109375" customWidth="1"/>
    <col min="7" max="7" width="9.5703125" customWidth="1"/>
    <col min="8" max="8" width="17.42578125" customWidth="1"/>
    <col min="12" max="12" width="10" bestFit="1" customWidth="1"/>
  </cols>
  <sheetData>
    <row r="1" spans="1:8" x14ac:dyDescent="0.2">
      <c r="C1" s="4" t="s">
        <v>113</v>
      </c>
    </row>
    <row r="2" spans="1:8" x14ac:dyDescent="0.2">
      <c r="C2" s="4" t="s">
        <v>112</v>
      </c>
    </row>
    <row r="3" spans="1:8" x14ac:dyDescent="0.2">
      <c r="C3" s="4"/>
    </row>
    <row r="4" spans="1:8" x14ac:dyDescent="0.2">
      <c r="B4" s="12" t="s">
        <v>82</v>
      </c>
      <c r="C4" s="4"/>
      <c r="D4" s="99">
        <f>B24</f>
        <v>45667</v>
      </c>
    </row>
    <row r="5" spans="1:8" x14ac:dyDescent="0.2">
      <c r="C5" s="4"/>
    </row>
    <row r="6" spans="1:8" ht="13.5" thickBot="1" x14ac:dyDescent="0.25"/>
    <row r="7" spans="1:8" x14ac:dyDescent="0.2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5" thickBot="1" x14ac:dyDescent="0.25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5" x14ac:dyDescent="0.25">
      <c r="A10" s="14">
        <v>1</v>
      </c>
      <c r="B10" s="100">
        <v>45569</v>
      </c>
      <c r="C10" s="1">
        <v>1596</v>
      </c>
      <c r="D10" s="86">
        <f>C10</f>
        <v>1596</v>
      </c>
      <c r="E10" s="1">
        <v>5296</v>
      </c>
      <c r="F10" s="3">
        <f>E10</f>
        <v>5296</v>
      </c>
      <c r="G10" s="6">
        <f>C10-E10</f>
        <v>-3700</v>
      </c>
      <c r="H10" s="2">
        <f>G10</f>
        <v>-3700</v>
      </c>
    </row>
    <row r="11" spans="1:8" ht="15" x14ac:dyDescent="0.25">
      <c r="A11" s="14">
        <v>2</v>
      </c>
      <c r="B11" s="101">
        <f>B10+7</f>
        <v>45576</v>
      </c>
      <c r="C11" s="1">
        <v>2156</v>
      </c>
      <c r="D11" s="86">
        <f>D10+C11</f>
        <v>3752</v>
      </c>
      <c r="E11" s="1">
        <v>54980</v>
      </c>
      <c r="F11" s="3">
        <f>F10+E11</f>
        <v>60276</v>
      </c>
      <c r="G11" s="6">
        <f t="shared" ref="G11:G61" si="0">C11-E11</f>
        <v>-52824</v>
      </c>
      <c r="H11" s="2">
        <f>G10+H10</f>
        <v>-7400</v>
      </c>
    </row>
    <row r="12" spans="1:8" ht="15" x14ac:dyDescent="0.25">
      <c r="A12" s="14">
        <v>3</v>
      </c>
      <c r="B12" s="101">
        <f>B11+7</f>
        <v>45583</v>
      </c>
      <c r="C12" s="1">
        <v>1702</v>
      </c>
      <c r="D12" s="86">
        <f t="shared" ref="D12:D61" si="1">D11+C12</f>
        <v>5454</v>
      </c>
      <c r="E12" s="1">
        <v>64032</v>
      </c>
      <c r="F12" s="3">
        <f t="shared" ref="F12:F61" si="2">F11+E12</f>
        <v>124308</v>
      </c>
      <c r="G12" s="6">
        <f t="shared" si="0"/>
        <v>-62330</v>
      </c>
      <c r="H12" s="2">
        <f t="shared" ref="H12:H61" si="3">G11+H11</f>
        <v>-60224</v>
      </c>
    </row>
    <row r="13" spans="1:8" ht="15" x14ac:dyDescent="0.25">
      <c r="A13" s="14">
        <v>4</v>
      </c>
      <c r="B13" s="101">
        <f t="shared" ref="B13:B60" si="4">B12+7</f>
        <v>45590</v>
      </c>
      <c r="C13" s="1">
        <v>1485</v>
      </c>
      <c r="D13" s="86">
        <f t="shared" si="1"/>
        <v>6939</v>
      </c>
      <c r="E13" s="1">
        <v>18666</v>
      </c>
      <c r="F13" s="3">
        <f t="shared" si="2"/>
        <v>142974</v>
      </c>
      <c r="G13" s="6">
        <f t="shared" si="0"/>
        <v>-17181</v>
      </c>
      <c r="H13" s="2">
        <f t="shared" si="3"/>
        <v>-122554</v>
      </c>
    </row>
    <row r="14" spans="1:8" ht="15" x14ac:dyDescent="0.25">
      <c r="A14" s="14">
        <v>5</v>
      </c>
      <c r="B14" s="101">
        <f t="shared" si="4"/>
        <v>45597</v>
      </c>
      <c r="C14" s="1">
        <v>1416</v>
      </c>
      <c r="D14" s="86">
        <f t="shared" si="1"/>
        <v>8355</v>
      </c>
      <c r="E14" s="1">
        <v>46498</v>
      </c>
      <c r="F14" s="3">
        <f t="shared" si="2"/>
        <v>189472</v>
      </c>
      <c r="G14" s="6">
        <f t="shared" si="0"/>
        <v>-45082</v>
      </c>
      <c r="H14" s="2">
        <f t="shared" si="3"/>
        <v>-139735</v>
      </c>
    </row>
    <row r="15" spans="1:8" ht="15" x14ac:dyDescent="0.25">
      <c r="A15" s="14">
        <v>6</v>
      </c>
      <c r="B15" s="101">
        <f t="shared" si="4"/>
        <v>45604</v>
      </c>
      <c r="C15" s="1">
        <v>1021</v>
      </c>
      <c r="D15" s="86">
        <f t="shared" si="1"/>
        <v>9376</v>
      </c>
      <c r="E15" s="1">
        <v>36746</v>
      </c>
      <c r="F15" s="3">
        <f t="shared" si="2"/>
        <v>226218</v>
      </c>
      <c r="G15" s="6">
        <f t="shared" si="0"/>
        <v>-35725</v>
      </c>
      <c r="H15" s="2">
        <f t="shared" si="3"/>
        <v>-184817</v>
      </c>
    </row>
    <row r="16" spans="1:8" ht="15" x14ac:dyDescent="0.25">
      <c r="A16" s="14">
        <v>7</v>
      </c>
      <c r="B16" s="101">
        <f t="shared" si="4"/>
        <v>45611</v>
      </c>
      <c r="C16" s="1">
        <v>1428</v>
      </c>
      <c r="D16" s="86">
        <f t="shared" si="1"/>
        <v>10804</v>
      </c>
      <c r="E16" s="1">
        <v>44168</v>
      </c>
      <c r="F16" s="3">
        <f t="shared" si="2"/>
        <v>270386</v>
      </c>
      <c r="G16" s="6">
        <f t="shared" si="0"/>
        <v>-42740</v>
      </c>
      <c r="H16" s="2">
        <f t="shared" si="3"/>
        <v>-220542</v>
      </c>
    </row>
    <row r="17" spans="1:14" ht="15" x14ac:dyDescent="0.25">
      <c r="A17" s="14">
        <v>8</v>
      </c>
      <c r="B17" s="101">
        <f t="shared" si="4"/>
        <v>45618</v>
      </c>
      <c r="C17" s="1">
        <v>2011</v>
      </c>
      <c r="D17" s="86">
        <f t="shared" si="1"/>
        <v>12815</v>
      </c>
      <c r="E17" s="1">
        <v>20214</v>
      </c>
      <c r="F17" s="3">
        <f t="shared" si="2"/>
        <v>290600</v>
      </c>
      <c r="G17" s="6">
        <f t="shared" si="0"/>
        <v>-18203</v>
      </c>
      <c r="H17" s="2">
        <f t="shared" si="3"/>
        <v>-263282</v>
      </c>
    </row>
    <row r="18" spans="1:14" ht="15" x14ac:dyDescent="0.25">
      <c r="A18" s="14">
        <v>9</v>
      </c>
      <c r="B18" s="101">
        <f t="shared" si="4"/>
        <v>45625</v>
      </c>
      <c r="C18" s="1">
        <v>617</v>
      </c>
      <c r="D18" s="86">
        <f t="shared" si="1"/>
        <v>13432</v>
      </c>
      <c r="E18" s="1">
        <v>31892</v>
      </c>
      <c r="F18" s="3">
        <f t="shared" si="2"/>
        <v>322492</v>
      </c>
      <c r="G18" s="6">
        <f t="shared" si="0"/>
        <v>-31275</v>
      </c>
      <c r="H18" s="2">
        <f t="shared" si="3"/>
        <v>-281485</v>
      </c>
    </row>
    <row r="19" spans="1:14" ht="15" x14ac:dyDescent="0.25">
      <c r="A19" s="14">
        <v>10</v>
      </c>
      <c r="B19" s="101">
        <f t="shared" si="4"/>
        <v>45632</v>
      </c>
      <c r="C19" s="1">
        <v>1536</v>
      </c>
      <c r="D19" s="86">
        <f t="shared" si="1"/>
        <v>14968</v>
      </c>
      <c r="E19" s="1">
        <v>45189</v>
      </c>
      <c r="F19" s="3">
        <f t="shared" si="2"/>
        <v>367681</v>
      </c>
      <c r="G19" s="6">
        <f t="shared" si="0"/>
        <v>-43653</v>
      </c>
      <c r="H19" s="2">
        <f t="shared" si="3"/>
        <v>-312760</v>
      </c>
    </row>
    <row r="20" spans="1:14" ht="15" x14ac:dyDescent="0.25">
      <c r="A20" s="14">
        <v>11</v>
      </c>
      <c r="B20" s="101">
        <f t="shared" si="4"/>
        <v>45639</v>
      </c>
      <c r="C20" s="1">
        <v>2855</v>
      </c>
      <c r="D20" s="86">
        <f t="shared" si="1"/>
        <v>17823</v>
      </c>
      <c r="E20" s="1">
        <v>53239</v>
      </c>
      <c r="F20" s="3">
        <f t="shared" si="2"/>
        <v>420920</v>
      </c>
      <c r="G20" s="6">
        <f t="shared" si="0"/>
        <v>-50384</v>
      </c>
      <c r="H20" s="2">
        <f t="shared" si="3"/>
        <v>-356413</v>
      </c>
    </row>
    <row r="21" spans="1:14" ht="15" x14ac:dyDescent="0.25">
      <c r="A21" s="14">
        <v>12</v>
      </c>
      <c r="B21" s="101">
        <f t="shared" si="4"/>
        <v>45646</v>
      </c>
      <c r="C21" s="1">
        <v>1776</v>
      </c>
      <c r="D21" s="86">
        <f t="shared" si="1"/>
        <v>19599</v>
      </c>
      <c r="E21" s="1">
        <v>28964</v>
      </c>
      <c r="F21" s="3">
        <f t="shared" si="2"/>
        <v>449884</v>
      </c>
      <c r="G21" s="6">
        <f t="shared" si="0"/>
        <v>-27188</v>
      </c>
      <c r="H21" s="2">
        <f t="shared" si="3"/>
        <v>-406797</v>
      </c>
    </row>
    <row r="22" spans="1:14" ht="15" x14ac:dyDescent="0.25">
      <c r="A22" s="14">
        <v>13</v>
      </c>
      <c r="B22" s="101">
        <f t="shared" si="4"/>
        <v>45653</v>
      </c>
      <c r="C22" s="1">
        <v>484</v>
      </c>
      <c r="D22" s="86">
        <f t="shared" si="1"/>
        <v>20083</v>
      </c>
      <c r="E22" s="1">
        <v>0</v>
      </c>
      <c r="F22" s="3">
        <f t="shared" si="2"/>
        <v>449884</v>
      </c>
      <c r="G22" s="6">
        <f t="shared" si="0"/>
        <v>484</v>
      </c>
      <c r="H22" s="2">
        <f t="shared" si="3"/>
        <v>-433985</v>
      </c>
    </row>
    <row r="23" spans="1:14" ht="15" x14ac:dyDescent="0.25">
      <c r="A23" s="14">
        <v>14</v>
      </c>
      <c r="B23" s="101">
        <f t="shared" si="4"/>
        <v>45660</v>
      </c>
      <c r="C23" s="1">
        <v>699</v>
      </c>
      <c r="D23" s="86">
        <f t="shared" si="1"/>
        <v>20782</v>
      </c>
      <c r="E23" s="1">
        <v>0</v>
      </c>
      <c r="F23" s="3">
        <f t="shared" si="2"/>
        <v>449884</v>
      </c>
      <c r="G23" s="6">
        <f t="shared" si="0"/>
        <v>699</v>
      </c>
      <c r="H23" s="2">
        <f t="shared" si="3"/>
        <v>-433501</v>
      </c>
    </row>
    <row r="24" spans="1:14" ht="15" x14ac:dyDescent="0.25">
      <c r="A24" s="14">
        <v>15</v>
      </c>
      <c r="B24" s="101">
        <f t="shared" si="4"/>
        <v>45667</v>
      </c>
      <c r="C24" s="1">
        <v>1928</v>
      </c>
      <c r="D24" s="86">
        <f t="shared" si="1"/>
        <v>22710</v>
      </c>
      <c r="E24" s="1">
        <v>0</v>
      </c>
      <c r="F24" s="3">
        <f t="shared" si="2"/>
        <v>449884</v>
      </c>
      <c r="G24" s="6">
        <f t="shared" si="0"/>
        <v>1928</v>
      </c>
      <c r="H24" s="2">
        <f t="shared" si="3"/>
        <v>-432802</v>
      </c>
    </row>
    <row r="25" spans="1:14" ht="15" x14ac:dyDescent="0.25">
      <c r="A25" s="14">
        <v>16</v>
      </c>
      <c r="B25" s="101">
        <f t="shared" si="4"/>
        <v>45674</v>
      </c>
      <c r="C25" s="1"/>
      <c r="D25" s="86">
        <f t="shared" si="1"/>
        <v>22710</v>
      </c>
      <c r="E25" s="1"/>
      <c r="F25" s="3">
        <f t="shared" si="2"/>
        <v>449884</v>
      </c>
      <c r="G25" s="6">
        <f t="shared" si="0"/>
        <v>0</v>
      </c>
      <c r="H25" s="2">
        <f t="shared" si="3"/>
        <v>-430874</v>
      </c>
    </row>
    <row r="26" spans="1:14" ht="15" x14ac:dyDescent="0.25">
      <c r="A26" s="14">
        <v>17</v>
      </c>
      <c r="B26" s="101">
        <f t="shared" si="4"/>
        <v>45681</v>
      </c>
      <c r="C26" s="1"/>
      <c r="D26" s="86">
        <f t="shared" si="1"/>
        <v>22710</v>
      </c>
      <c r="E26" s="1"/>
      <c r="F26" s="3">
        <f t="shared" si="2"/>
        <v>449884</v>
      </c>
      <c r="G26" s="6">
        <f t="shared" si="0"/>
        <v>0</v>
      </c>
      <c r="H26" s="2">
        <f t="shared" si="3"/>
        <v>-430874</v>
      </c>
      <c r="N26" s="85"/>
    </row>
    <row r="27" spans="1:14" ht="15" x14ac:dyDescent="0.25">
      <c r="A27" s="14">
        <v>18</v>
      </c>
      <c r="B27" s="101">
        <f t="shared" si="4"/>
        <v>45688</v>
      </c>
      <c r="C27" s="1"/>
      <c r="D27" s="86">
        <f t="shared" si="1"/>
        <v>22710</v>
      </c>
      <c r="E27" s="1"/>
      <c r="F27" s="3">
        <f t="shared" si="2"/>
        <v>449884</v>
      </c>
      <c r="G27" s="6">
        <f t="shared" si="0"/>
        <v>0</v>
      </c>
      <c r="H27" s="2">
        <f t="shared" si="3"/>
        <v>-430874</v>
      </c>
    </row>
    <row r="28" spans="1:14" ht="15" x14ac:dyDescent="0.25">
      <c r="A28" s="14">
        <v>19</v>
      </c>
      <c r="B28" s="101">
        <f t="shared" si="4"/>
        <v>45695</v>
      </c>
      <c r="C28" s="1"/>
      <c r="D28" s="86">
        <f t="shared" si="1"/>
        <v>22710</v>
      </c>
      <c r="E28" s="1"/>
      <c r="F28" s="3">
        <f t="shared" si="2"/>
        <v>449884</v>
      </c>
      <c r="G28" s="6">
        <f t="shared" si="0"/>
        <v>0</v>
      </c>
      <c r="H28" s="2">
        <f t="shared" si="3"/>
        <v>-430874</v>
      </c>
    </row>
    <row r="29" spans="1:14" ht="15" x14ac:dyDescent="0.25">
      <c r="A29" s="14">
        <v>20</v>
      </c>
      <c r="B29" s="101">
        <f t="shared" si="4"/>
        <v>45702</v>
      </c>
      <c r="C29" s="1"/>
      <c r="D29" s="86">
        <f t="shared" si="1"/>
        <v>22710</v>
      </c>
      <c r="E29" s="1"/>
      <c r="F29" s="3">
        <f t="shared" si="2"/>
        <v>449884</v>
      </c>
      <c r="G29" s="6">
        <f t="shared" si="0"/>
        <v>0</v>
      </c>
      <c r="H29" s="2">
        <f t="shared" si="3"/>
        <v>-430874</v>
      </c>
    </row>
    <row r="30" spans="1:14" ht="15" x14ac:dyDescent="0.25">
      <c r="A30" s="14">
        <v>21</v>
      </c>
      <c r="B30" s="101">
        <f t="shared" si="4"/>
        <v>45709</v>
      </c>
      <c r="C30" s="1"/>
      <c r="D30" s="86">
        <f t="shared" si="1"/>
        <v>22710</v>
      </c>
      <c r="E30" s="1"/>
      <c r="F30" s="3">
        <f t="shared" si="2"/>
        <v>449884</v>
      </c>
      <c r="G30" s="6">
        <f t="shared" si="0"/>
        <v>0</v>
      </c>
      <c r="H30" s="2">
        <f t="shared" si="3"/>
        <v>-430874</v>
      </c>
    </row>
    <row r="31" spans="1:14" ht="15" x14ac:dyDescent="0.25">
      <c r="A31" s="14">
        <v>22</v>
      </c>
      <c r="B31" s="101">
        <f t="shared" si="4"/>
        <v>45716</v>
      </c>
      <c r="C31" s="1"/>
      <c r="D31" s="86">
        <f t="shared" si="1"/>
        <v>22710</v>
      </c>
      <c r="E31" s="1"/>
      <c r="F31" s="3">
        <f t="shared" si="2"/>
        <v>449884</v>
      </c>
      <c r="G31" s="6">
        <f t="shared" si="0"/>
        <v>0</v>
      </c>
      <c r="H31" s="2">
        <f t="shared" si="3"/>
        <v>-430874</v>
      </c>
    </row>
    <row r="32" spans="1:14" ht="15" x14ac:dyDescent="0.25">
      <c r="A32" s="14">
        <v>23</v>
      </c>
      <c r="B32" s="101">
        <f t="shared" si="4"/>
        <v>45723</v>
      </c>
      <c r="C32" s="1"/>
      <c r="D32" s="86">
        <f t="shared" si="1"/>
        <v>22710</v>
      </c>
      <c r="E32" s="1"/>
      <c r="F32" s="3">
        <f t="shared" si="2"/>
        <v>449884</v>
      </c>
      <c r="G32" s="6">
        <f t="shared" si="0"/>
        <v>0</v>
      </c>
      <c r="H32" s="2">
        <f t="shared" si="3"/>
        <v>-430874</v>
      </c>
    </row>
    <row r="33" spans="1:12" ht="15" x14ac:dyDescent="0.25">
      <c r="A33" s="14">
        <v>24</v>
      </c>
      <c r="B33" s="101">
        <f t="shared" si="4"/>
        <v>45730</v>
      </c>
      <c r="C33" s="1"/>
      <c r="D33" s="86">
        <f t="shared" si="1"/>
        <v>22710</v>
      </c>
      <c r="E33" s="1"/>
      <c r="F33" s="3">
        <f t="shared" si="2"/>
        <v>449884</v>
      </c>
      <c r="G33" s="6">
        <f t="shared" si="0"/>
        <v>0</v>
      </c>
      <c r="H33" s="2">
        <f t="shared" si="3"/>
        <v>-430874</v>
      </c>
    </row>
    <row r="34" spans="1:12" ht="15" x14ac:dyDescent="0.25">
      <c r="A34" s="14">
        <v>25</v>
      </c>
      <c r="B34" s="101">
        <f t="shared" si="4"/>
        <v>45737</v>
      </c>
      <c r="C34" s="1"/>
      <c r="D34" s="86">
        <f t="shared" si="1"/>
        <v>22710</v>
      </c>
      <c r="E34" s="1"/>
      <c r="F34" s="3">
        <f t="shared" si="2"/>
        <v>449884</v>
      </c>
      <c r="G34" s="6">
        <f t="shared" si="0"/>
        <v>0</v>
      </c>
      <c r="H34" s="2">
        <f t="shared" si="3"/>
        <v>-430874</v>
      </c>
    </row>
    <row r="35" spans="1:12" ht="15" x14ac:dyDescent="0.25">
      <c r="A35" s="14">
        <v>26</v>
      </c>
      <c r="B35" s="101">
        <f t="shared" si="4"/>
        <v>45744</v>
      </c>
      <c r="C35" s="1"/>
      <c r="D35" s="86">
        <f t="shared" si="1"/>
        <v>22710</v>
      </c>
      <c r="E35" s="1"/>
      <c r="F35" s="3">
        <f t="shared" si="2"/>
        <v>449884</v>
      </c>
      <c r="G35" s="6">
        <f t="shared" si="0"/>
        <v>0</v>
      </c>
      <c r="H35" s="2">
        <f t="shared" si="3"/>
        <v>-430874</v>
      </c>
    </row>
    <row r="36" spans="1:12" ht="15" x14ac:dyDescent="0.25">
      <c r="A36" s="14">
        <v>27</v>
      </c>
      <c r="B36" s="101">
        <f t="shared" si="4"/>
        <v>45751</v>
      </c>
      <c r="C36" s="1"/>
      <c r="D36" s="86">
        <f t="shared" si="1"/>
        <v>22710</v>
      </c>
      <c r="E36" s="1"/>
      <c r="F36" s="3">
        <f t="shared" si="2"/>
        <v>449884</v>
      </c>
      <c r="G36" s="6">
        <f t="shared" si="0"/>
        <v>0</v>
      </c>
      <c r="H36" s="2">
        <f t="shared" si="3"/>
        <v>-430874</v>
      </c>
    </row>
    <row r="37" spans="1:12" ht="15" x14ac:dyDescent="0.25">
      <c r="A37" s="14">
        <v>28</v>
      </c>
      <c r="B37" s="101">
        <f t="shared" si="4"/>
        <v>45758</v>
      </c>
      <c r="C37" s="1"/>
      <c r="D37" s="86">
        <f t="shared" si="1"/>
        <v>22710</v>
      </c>
      <c r="E37" s="1"/>
      <c r="F37" s="3">
        <f t="shared" si="2"/>
        <v>449884</v>
      </c>
      <c r="G37" s="6">
        <f t="shared" si="0"/>
        <v>0</v>
      </c>
      <c r="H37" s="2">
        <f t="shared" si="3"/>
        <v>-430874</v>
      </c>
    </row>
    <row r="38" spans="1:12" ht="15" x14ac:dyDescent="0.25">
      <c r="A38" s="14">
        <v>29</v>
      </c>
      <c r="B38" s="101">
        <f t="shared" si="4"/>
        <v>45765</v>
      </c>
      <c r="C38" s="1"/>
      <c r="D38" s="86">
        <f t="shared" si="1"/>
        <v>22710</v>
      </c>
      <c r="E38" s="1"/>
      <c r="F38" s="3">
        <f t="shared" si="2"/>
        <v>449884</v>
      </c>
      <c r="G38" s="6">
        <f t="shared" si="0"/>
        <v>0</v>
      </c>
      <c r="H38" s="2">
        <f t="shared" si="3"/>
        <v>-430874</v>
      </c>
    </row>
    <row r="39" spans="1:12" ht="15" x14ac:dyDescent="0.25">
      <c r="A39" s="14">
        <v>30</v>
      </c>
      <c r="B39" s="101">
        <f t="shared" si="4"/>
        <v>45772</v>
      </c>
      <c r="C39" s="1"/>
      <c r="D39" s="86">
        <f t="shared" si="1"/>
        <v>22710</v>
      </c>
      <c r="E39" s="1"/>
      <c r="F39" s="3">
        <f t="shared" si="2"/>
        <v>449884</v>
      </c>
      <c r="G39" s="6">
        <f t="shared" si="0"/>
        <v>0</v>
      </c>
      <c r="H39" s="2">
        <f t="shared" si="3"/>
        <v>-430874</v>
      </c>
    </row>
    <row r="40" spans="1:12" ht="15" x14ac:dyDescent="0.25">
      <c r="A40" s="14">
        <v>31</v>
      </c>
      <c r="B40" s="101">
        <f t="shared" si="4"/>
        <v>45779</v>
      </c>
      <c r="C40" s="1"/>
      <c r="D40" s="86">
        <f t="shared" si="1"/>
        <v>22710</v>
      </c>
      <c r="E40" s="1"/>
      <c r="F40" s="3">
        <f t="shared" si="2"/>
        <v>449884</v>
      </c>
      <c r="G40" s="6">
        <f t="shared" si="0"/>
        <v>0</v>
      </c>
      <c r="H40" s="2">
        <f t="shared" si="3"/>
        <v>-430874</v>
      </c>
    </row>
    <row r="41" spans="1:12" ht="15" x14ac:dyDescent="0.25">
      <c r="A41" s="14">
        <v>32</v>
      </c>
      <c r="B41" s="101">
        <f t="shared" si="4"/>
        <v>45786</v>
      </c>
      <c r="C41" s="1"/>
      <c r="D41" s="86">
        <f t="shared" si="1"/>
        <v>22710</v>
      </c>
      <c r="E41" s="1"/>
      <c r="F41" s="3">
        <f t="shared" si="2"/>
        <v>449884</v>
      </c>
      <c r="G41" s="6">
        <f t="shared" si="0"/>
        <v>0</v>
      </c>
      <c r="H41" s="2">
        <f t="shared" si="3"/>
        <v>-430874</v>
      </c>
    </row>
    <row r="42" spans="1:12" ht="15" x14ac:dyDescent="0.25">
      <c r="A42" s="14">
        <v>33</v>
      </c>
      <c r="B42" s="101">
        <f t="shared" si="4"/>
        <v>45793</v>
      </c>
      <c r="C42" s="1"/>
      <c r="D42" s="86">
        <f t="shared" si="1"/>
        <v>22710</v>
      </c>
      <c r="E42" s="1"/>
      <c r="F42" s="3">
        <f t="shared" si="2"/>
        <v>449884</v>
      </c>
      <c r="G42" s="6">
        <f t="shared" si="0"/>
        <v>0</v>
      </c>
      <c r="H42" s="2">
        <f t="shared" si="3"/>
        <v>-430874</v>
      </c>
    </row>
    <row r="43" spans="1:12" ht="15" x14ac:dyDescent="0.25">
      <c r="A43" s="14">
        <v>34</v>
      </c>
      <c r="B43" s="101">
        <f t="shared" si="4"/>
        <v>45800</v>
      </c>
      <c r="C43" s="1"/>
      <c r="D43" s="86">
        <f t="shared" si="1"/>
        <v>22710</v>
      </c>
      <c r="E43" s="1"/>
      <c r="F43" s="3">
        <f t="shared" si="2"/>
        <v>449884</v>
      </c>
      <c r="G43" s="6">
        <f t="shared" si="0"/>
        <v>0</v>
      </c>
      <c r="H43" s="2">
        <f t="shared" si="3"/>
        <v>-430874</v>
      </c>
    </row>
    <row r="44" spans="1:12" ht="15" x14ac:dyDescent="0.25">
      <c r="A44" s="14">
        <v>35</v>
      </c>
      <c r="B44" s="101">
        <f t="shared" si="4"/>
        <v>45807</v>
      </c>
      <c r="C44" s="1"/>
      <c r="D44" s="86">
        <f t="shared" si="1"/>
        <v>22710</v>
      </c>
      <c r="E44" s="1"/>
      <c r="F44" s="3">
        <f t="shared" si="2"/>
        <v>449884</v>
      </c>
      <c r="G44" s="6">
        <f t="shared" si="0"/>
        <v>0</v>
      </c>
      <c r="H44" s="2">
        <f t="shared" si="3"/>
        <v>-430874</v>
      </c>
    </row>
    <row r="45" spans="1:12" ht="15" x14ac:dyDescent="0.25">
      <c r="A45" s="14">
        <v>36</v>
      </c>
      <c r="B45" s="101">
        <f t="shared" si="4"/>
        <v>45814</v>
      </c>
      <c r="C45" s="1"/>
      <c r="D45" s="86">
        <f t="shared" si="1"/>
        <v>22710</v>
      </c>
      <c r="E45" s="1"/>
      <c r="F45" s="3">
        <f t="shared" si="2"/>
        <v>449884</v>
      </c>
      <c r="G45" s="6">
        <f t="shared" si="0"/>
        <v>0</v>
      </c>
      <c r="H45" s="2">
        <f t="shared" si="3"/>
        <v>-430874</v>
      </c>
      <c r="L45" s="110"/>
    </row>
    <row r="46" spans="1:12" ht="15" x14ac:dyDescent="0.25">
      <c r="A46" s="14">
        <v>37</v>
      </c>
      <c r="B46" s="101">
        <f t="shared" si="4"/>
        <v>45821</v>
      </c>
      <c r="C46" s="1"/>
      <c r="D46" s="86">
        <f t="shared" si="1"/>
        <v>22710</v>
      </c>
      <c r="E46" s="1"/>
      <c r="F46" s="3">
        <f t="shared" si="2"/>
        <v>449884</v>
      </c>
      <c r="G46" s="6">
        <f t="shared" si="0"/>
        <v>0</v>
      </c>
      <c r="H46" s="2">
        <f t="shared" si="3"/>
        <v>-430874</v>
      </c>
    </row>
    <row r="47" spans="1:12" ht="15" x14ac:dyDescent="0.25">
      <c r="A47" s="14">
        <v>38</v>
      </c>
      <c r="B47" s="101">
        <f t="shared" si="4"/>
        <v>45828</v>
      </c>
      <c r="C47" s="1"/>
      <c r="D47" s="86">
        <f t="shared" si="1"/>
        <v>22710</v>
      </c>
      <c r="E47" s="1"/>
      <c r="F47" s="3">
        <f t="shared" si="2"/>
        <v>449884</v>
      </c>
      <c r="G47" s="6">
        <f t="shared" si="0"/>
        <v>0</v>
      </c>
      <c r="H47" s="2">
        <f t="shared" si="3"/>
        <v>-430874</v>
      </c>
    </row>
    <row r="48" spans="1:12" ht="15" x14ac:dyDescent="0.25">
      <c r="A48" s="14">
        <v>39</v>
      </c>
      <c r="B48" s="101">
        <f t="shared" si="4"/>
        <v>45835</v>
      </c>
      <c r="C48" s="1"/>
      <c r="D48" s="86">
        <f t="shared" si="1"/>
        <v>22710</v>
      </c>
      <c r="E48" s="1"/>
      <c r="F48" s="3">
        <f t="shared" si="2"/>
        <v>449884</v>
      </c>
      <c r="G48" s="6">
        <f t="shared" si="0"/>
        <v>0</v>
      </c>
      <c r="H48" s="2">
        <f t="shared" si="3"/>
        <v>-430874</v>
      </c>
      <c r="K48" s="12"/>
    </row>
    <row r="49" spans="1:8" ht="15" x14ac:dyDescent="0.25">
      <c r="A49" s="14">
        <v>40</v>
      </c>
      <c r="B49" s="101">
        <f t="shared" si="4"/>
        <v>45842</v>
      </c>
      <c r="C49" s="1"/>
      <c r="D49" s="86">
        <f t="shared" si="1"/>
        <v>22710</v>
      </c>
      <c r="E49" s="1"/>
      <c r="F49" s="3">
        <f t="shared" si="2"/>
        <v>449884</v>
      </c>
      <c r="G49" s="6">
        <f t="shared" si="0"/>
        <v>0</v>
      </c>
      <c r="H49" s="2">
        <f t="shared" si="3"/>
        <v>-430874</v>
      </c>
    </row>
    <row r="50" spans="1:8" ht="15" x14ac:dyDescent="0.25">
      <c r="A50" s="14">
        <v>41</v>
      </c>
      <c r="B50" s="101">
        <f t="shared" si="4"/>
        <v>45849</v>
      </c>
      <c r="C50" s="1"/>
      <c r="D50" s="86">
        <f t="shared" si="1"/>
        <v>22710</v>
      </c>
      <c r="E50" s="1"/>
      <c r="F50" s="3">
        <f t="shared" si="2"/>
        <v>449884</v>
      </c>
      <c r="G50" s="6">
        <f t="shared" si="0"/>
        <v>0</v>
      </c>
      <c r="H50" s="2">
        <f t="shared" si="3"/>
        <v>-430874</v>
      </c>
    </row>
    <row r="51" spans="1:8" ht="15" x14ac:dyDescent="0.25">
      <c r="A51" s="14">
        <v>42</v>
      </c>
      <c r="B51" s="101">
        <f t="shared" si="4"/>
        <v>45856</v>
      </c>
      <c r="C51" s="1"/>
      <c r="D51" s="86">
        <f t="shared" si="1"/>
        <v>22710</v>
      </c>
      <c r="E51" s="1"/>
      <c r="F51" s="3">
        <f t="shared" si="2"/>
        <v>449884</v>
      </c>
      <c r="G51" s="6">
        <f t="shared" si="0"/>
        <v>0</v>
      </c>
      <c r="H51" s="2">
        <f t="shared" si="3"/>
        <v>-430874</v>
      </c>
    </row>
    <row r="52" spans="1:8" ht="15" x14ac:dyDescent="0.25">
      <c r="A52" s="14">
        <v>43</v>
      </c>
      <c r="B52" s="101">
        <f t="shared" si="4"/>
        <v>45863</v>
      </c>
      <c r="C52" s="1"/>
      <c r="D52" s="86">
        <f t="shared" si="1"/>
        <v>22710</v>
      </c>
      <c r="E52" s="1"/>
      <c r="F52" s="3">
        <f t="shared" si="2"/>
        <v>449884</v>
      </c>
      <c r="G52" s="6">
        <f t="shared" si="0"/>
        <v>0</v>
      </c>
      <c r="H52" s="2">
        <f t="shared" si="3"/>
        <v>-430874</v>
      </c>
    </row>
    <row r="53" spans="1:8" ht="15" x14ac:dyDescent="0.25">
      <c r="A53" s="14">
        <v>44</v>
      </c>
      <c r="B53" s="101">
        <f t="shared" si="4"/>
        <v>45870</v>
      </c>
      <c r="C53" s="1"/>
      <c r="D53" s="86">
        <f t="shared" si="1"/>
        <v>22710</v>
      </c>
      <c r="E53" s="1"/>
      <c r="F53" s="3">
        <f t="shared" si="2"/>
        <v>449884</v>
      </c>
      <c r="G53" s="6">
        <f t="shared" si="0"/>
        <v>0</v>
      </c>
      <c r="H53" s="2">
        <f t="shared" si="3"/>
        <v>-430874</v>
      </c>
    </row>
    <row r="54" spans="1:8" ht="15" x14ac:dyDescent="0.25">
      <c r="A54" s="14">
        <v>45</v>
      </c>
      <c r="B54" s="101">
        <f t="shared" si="4"/>
        <v>45877</v>
      </c>
      <c r="C54" s="1"/>
      <c r="D54" s="86">
        <f t="shared" si="1"/>
        <v>22710</v>
      </c>
      <c r="E54" s="1"/>
      <c r="F54" s="3">
        <f t="shared" si="2"/>
        <v>449884</v>
      </c>
      <c r="G54" s="6">
        <f t="shared" si="0"/>
        <v>0</v>
      </c>
      <c r="H54" s="2">
        <f t="shared" si="3"/>
        <v>-430874</v>
      </c>
    </row>
    <row r="55" spans="1:8" ht="15" x14ac:dyDescent="0.25">
      <c r="A55" s="14">
        <v>46</v>
      </c>
      <c r="B55" s="101">
        <f t="shared" si="4"/>
        <v>45884</v>
      </c>
      <c r="C55" s="1"/>
      <c r="D55" s="86">
        <f t="shared" si="1"/>
        <v>22710</v>
      </c>
      <c r="E55" s="1"/>
      <c r="F55" s="3">
        <f t="shared" si="2"/>
        <v>449884</v>
      </c>
      <c r="G55" s="6">
        <f t="shared" si="0"/>
        <v>0</v>
      </c>
      <c r="H55" s="2">
        <f t="shared" si="3"/>
        <v>-430874</v>
      </c>
    </row>
    <row r="56" spans="1:8" ht="15" x14ac:dyDescent="0.25">
      <c r="A56" s="14">
        <v>47</v>
      </c>
      <c r="B56" s="101">
        <f t="shared" si="4"/>
        <v>45891</v>
      </c>
      <c r="C56" s="1"/>
      <c r="D56" s="86">
        <f t="shared" si="1"/>
        <v>22710</v>
      </c>
      <c r="E56" s="1"/>
      <c r="F56" s="3">
        <f t="shared" si="2"/>
        <v>449884</v>
      </c>
      <c r="G56" s="6">
        <f t="shared" si="0"/>
        <v>0</v>
      </c>
      <c r="H56" s="2">
        <f t="shared" si="3"/>
        <v>-430874</v>
      </c>
    </row>
    <row r="57" spans="1:8" ht="15" x14ac:dyDescent="0.25">
      <c r="A57" s="14">
        <v>48</v>
      </c>
      <c r="B57" s="101">
        <f t="shared" si="4"/>
        <v>45898</v>
      </c>
      <c r="C57" s="1"/>
      <c r="D57" s="86">
        <f t="shared" si="1"/>
        <v>22710</v>
      </c>
      <c r="E57" s="1"/>
      <c r="F57" s="3">
        <f t="shared" si="2"/>
        <v>449884</v>
      </c>
      <c r="G57" s="6">
        <f t="shared" si="0"/>
        <v>0</v>
      </c>
      <c r="H57" s="2">
        <f t="shared" si="3"/>
        <v>-430874</v>
      </c>
    </row>
    <row r="58" spans="1:8" ht="15" x14ac:dyDescent="0.25">
      <c r="A58" s="14">
        <v>49</v>
      </c>
      <c r="B58" s="101">
        <f t="shared" si="4"/>
        <v>45905</v>
      </c>
      <c r="C58" s="1"/>
      <c r="D58" s="86">
        <f t="shared" si="1"/>
        <v>22710</v>
      </c>
      <c r="E58" s="1"/>
      <c r="F58" s="3">
        <f t="shared" si="2"/>
        <v>449884</v>
      </c>
      <c r="G58" s="6">
        <f t="shared" si="0"/>
        <v>0</v>
      </c>
      <c r="H58" s="2">
        <f t="shared" si="3"/>
        <v>-430874</v>
      </c>
    </row>
    <row r="59" spans="1:8" ht="15" x14ac:dyDescent="0.25">
      <c r="A59" s="14">
        <v>50</v>
      </c>
      <c r="B59" s="101">
        <f t="shared" si="4"/>
        <v>45912</v>
      </c>
      <c r="C59" s="1"/>
      <c r="D59" s="86">
        <f t="shared" si="1"/>
        <v>22710</v>
      </c>
      <c r="E59" s="1"/>
      <c r="F59" s="3">
        <f t="shared" si="2"/>
        <v>449884</v>
      </c>
      <c r="G59" s="6">
        <f t="shared" si="0"/>
        <v>0</v>
      </c>
      <c r="H59" s="2">
        <f t="shared" si="3"/>
        <v>-430874</v>
      </c>
    </row>
    <row r="60" spans="1:8" ht="15" x14ac:dyDescent="0.25">
      <c r="A60" s="14">
        <v>51</v>
      </c>
      <c r="B60" s="101">
        <f t="shared" si="4"/>
        <v>45919</v>
      </c>
      <c r="C60" s="1"/>
      <c r="D60" s="86">
        <f t="shared" si="1"/>
        <v>22710</v>
      </c>
      <c r="E60" s="1"/>
      <c r="F60" s="3">
        <f t="shared" si="2"/>
        <v>449884</v>
      </c>
      <c r="G60" s="6">
        <f t="shared" si="0"/>
        <v>0</v>
      </c>
      <c r="H60" s="2">
        <f t="shared" si="3"/>
        <v>-430874</v>
      </c>
    </row>
    <row r="61" spans="1:8" ht="15.75" thickBot="1" x14ac:dyDescent="0.3">
      <c r="A61" s="109">
        <v>52</v>
      </c>
      <c r="B61" s="103"/>
      <c r="C61" s="58"/>
      <c r="D61" s="57">
        <f t="shared" si="1"/>
        <v>22710</v>
      </c>
      <c r="E61" s="58"/>
      <c r="F61" s="57">
        <f t="shared" si="2"/>
        <v>449884</v>
      </c>
      <c r="G61" s="57">
        <f t="shared" si="0"/>
        <v>0</v>
      </c>
      <c r="H61" s="57">
        <f t="shared" si="3"/>
        <v>-430874</v>
      </c>
    </row>
    <row r="62" spans="1:8" x14ac:dyDescent="0.2">
      <c r="B62" s="7"/>
      <c r="D62" s="3"/>
    </row>
    <row r="63" spans="1:8" x14ac:dyDescent="0.2">
      <c r="B63" s="7"/>
    </row>
    <row r="64" spans="1:8" x14ac:dyDescent="0.2">
      <c r="B64" s="7"/>
    </row>
    <row r="65" spans="2:3" x14ac:dyDescent="0.2">
      <c r="B65" s="7"/>
    </row>
    <row r="66" spans="2:3" x14ac:dyDescent="0.2">
      <c r="B66" s="7"/>
      <c r="C66" s="5"/>
    </row>
    <row r="67" spans="2:3" x14ac:dyDescent="0.2">
      <c r="B67" s="7"/>
      <c r="C67" s="5"/>
    </row>
    <row r="68" spans="2:3" x14ac:dyDescent="0.2">
      <c r="B68" s="7"/>
    </row>
    <row r="69" spans="2:3" x14ac:dyDescent="0.2">
      <c r="B69" s="7"/>
    </row>
    <row r="70" spans="2:3" x14ac:dyDescent="0.2">
      <c r="B70" s="7"/>
    </row>
    <row r="71" spans="2:3" x14ac:dyDescent="0.2">
      <c r="B71" s="7"/>
    </row>
    <row r="72" spans="2:3" x14ac:dyDescent="0.2">
      <c r="B72" s="7"/>
    </row>
    <row r="73" spans="2:3" x14ac:dyDescent="0.2">
      <c r="B73" s="7"/>
    </row>
    <row r="74" spans="2:3" x14ac:dyDescent="0.2">
      <c r="B74" s="7"/>
    </row>
    <row r="75" spans="2:3" x14ac:dyDescent="0.2">
      <c r="B75" s="7"/>
    </row>
    <row r="76" spans="2:3" x14ac:dyDescent="0.2">
      <c r="B76" s="7"/>
    </row>
    <row r="77" spans="2:3" x14ac:dyDescent="0.2">
      <c r="B77" s="7"/>
    </row>
    <row r="78" spans="2:3" x14ac:dyDescent="0.2">
      <c r="B78" s="7"/>
    </row>
    <row r="79" spans="2:3" x14ac:dyDescent="0.2">
      <c r="B79" s="7"/>
    </row>
    <row r="80" spans="2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2:2" x14ac:dyDescent="0.2">
      <c r="B513" s="7"/>
    </row>
    <row r="514" spans="2:2" x14ac:dyDescent="0.2">
      <c r="B514" s="7"/>
    </row>
    <row r="515" spans="2:2" x14ac:dyDescent="0.2">
      <c r="B515" s="7"/>
    </row>
    <row r="516" spans="2:2" x14ac:dyDescent="0.2">
      <c r="B516" s="7"/>
    </row>
    <row r="517" spans="2:2" x14ac:dyDescent="0.2">
      <c r="B517" s="7"/>
    </row>
    <row r="518" spans="2:2" x14ac:dyDescent="0.2">
      <c r="B518" s="7"/>
    </row>
    <row r="519" spans="2:2" x14ac:dyDescent="0.2">
      <c r="B519" s="7"/>
    </row>
    <row r="520" spans="2:2" x14ac:dyDescent="0.2">
      <c r="B520" s="7"/>
    </row>
    <row r="521" spans="2:2" x14ac:dyDescent="0.2">
      <c r="B521" s="7"/>
    </row>
    <row r="522" spans="2:2" x14ac:dyDescent="0.2">
      <c r="B522" s="7"/>
    </row>
    <row r="523" spans="2:2" x14ac:dyDescent="0.2">
      <c r="B523" s="7"/>
    </row>
    <row r="524" spans="2:2" x14ac:dyDescent="0.2">
      <c r="B524" s="7"/>
    </row>
    <row r="525" spans="2:2" x14ac:dyDescent="0.2">
      <c r="B525" s="7"/>
    </row>
    <row r="526" spans="2:2" x14ac:dyDescent="0.2">
      <c r="B526" s="7"/>
    </row>
    <row r="527" spans="2:2" x14ac:dyDescent="0.2">
      <c r="B527" s="7"/>
    </row>
    <row r="528" spans="2:2" x14ac:dyDescent="0.2">
      <c r="B528" s="7"/>
    </row>
    <row r="529" spans="2:2" x14ac:dyDescent="0.2">
      <c r="B529" s="7"/>
    </row>
    <row r="530" spans="2:2" x14ac:dyDescent="0.2">
      <c r="B530" s="7"/>
    </row>
    <row r="531" spans="2:2" x14ac:dyDescent="0.2">
      <c r="B531" s="7"/>
    </row>
    <row r="532" spans="2:2" x14ac:dyDescent="0.2">
      <c r="B532" s="7"/>
    </row>
    <row r="533" spans="2:2" x14ac:dyDescent="0.2">
      <c r="B533" s="7"/>
    </row>
    <row r="534" spans="2:2" x14ac:dyDescent="0.2">
      <c r="B534" s="7"/>
    </row>
    <row r="535" spans="2:2" x14ac:dyDescent="0.2">
      <c r="B535" s="7"/>
    </row>
    <row r="536" spans="2:2" x14ac:dyDescent="0.2">
      <c r="B536" s="7"/>
    </row>
    <row r="537" spans="2:2" x14ac:dyDescent="0.2">
      <c r="B537" s="7"/>
    </row>
    <row r="538" spans="2:2" x14ac:dyDescent="0.2">
      <c r="B538" s="7"/>
    </row>
    <row r="539" spans="2:2" x14ac:dyDescent="0.2">
      <c r="B539" s="7"/>
    </row>
    <row r="540" spans="2:2" x14ac:dyDescent="0.2">
      <c r="B540" s="7"/>
    </row>
    <row r="541" spans="2:2" x14ac:dyDescent="0.2">
      <c r="B541" s="7"/>
    </row>
    <row r="542" spans="2:2" x14ac:dyDescent="0.2">
      <c r="B542" s="7"/>
    </row>
    <row r="543" spans="2:2" x14ac:dyDescent="0.2">
      <c r="B543" s="7"/>
    </row>
    <row r="544" spans="2:2" x14ac:dyDescent="0.2">
      <c r="B544" s="7"/>
    </row>
    <row r="545" spans="2:2" x14ac:dyDescent="0.2">
      <c r="B545" s="7"/>
    </row>
    <row r="546" spans="2:2" x14ac:dyDescent="0.2">
      <c r="B546" s="7"/>
    </row>
    <row r="547" spans="2:2" x14ac:dyDescent="0.2">
      <c r="B547" s="7"/>
    </row>
    <row r="548" spans="2:2" x14ac:dyDescent="0.2">
      <c r="B548" s="7"/>
    </row>
    <row r="549" spans="2:2" x14ac:dyDescent="0.2">
      <c r="B549" s="7"/>
    </row>
    <row r="550" spans="2:2" x14ac:dyDescent="0.2">
      <c r="B550" s="7"/>
    </row>
    <row r="551" spans="2:2" x14ac:dyDescent="0.2">
      <c r="B551" s="7"/>
    </row>
    <row r="552" spans="2:2" x14ac:dyDescent="0.2">
      <c r="B552" s="7"/>
    </row>
    <row r="553" spans="2:2" x14ac:dyDescent="0.2">
      <c r="B553" s="7"/>
    </row>
    <row r="554" spans="2:2" x14ac:dyDescent="0.2">
      <c r="B554" s="7"/>
    </row>
    <row r="555" spans="2:2" x14ac:dyDescent="0.2">
      <c r="B555" s="7"/>
    </row>
    <row r="556" spans="2:2" x14ac:dyDescent="0.2">
      <c r="B556" s="7"/>
    </row>
    <row r="557" spans="2:2" x14ac:dyDescent="0.2">
      <c r="B557" s="7"/>
    </row>
    <row r="558" spans="2:2" x14ac:dyDescent="0.2">
      <c r="B558" s="7"/>
    </row>
    <row r="559" spans="2:2" x14ac:dyDescent="0.2">
      <c r="B559" s="7"/>
    </row>
    <row r="560" spans="2:2" x14ac:dyDescent="0.2">
      <c r="B560" s="7"/>
    </row>
    <row r="561" spans="2:2" x14ac:dyDescent="0.2">
      <c r="B561" s="7"/>
    </row>
    <row r="562" spans="2:2" x14ac:dyDescent="0.2">
      <c r="B562" s="7"/>
    </row>
    <row r="563" spans="2:2" x14ac:dyDescent="0.2">
      <c r="B563" s="7"/>
    </row>
    <row r="564" spans="2:2" x14ac:dyDescent="0.2">
      <c r="B564" s="7"/>
    </row>
    <row r="565" spans="2:2" x14ac:dyDescent="0.2">
      <c r="B565" s="7"/>
    </row>
    <row r="566" spans="2:2" x14ac:dyDescent="0.2">
      <c r="B566" s="7"/>
    </row>
    <row r="567" spans="2:2" x14ac:dyDescent="0.2">
      <c r="B567" s="7"/>
    </row>
    <row r="568" spans="2:2" x14ac:dyDescent="0.2">
      <c r="B568" s="7"/>
    </row>
    <row r="569" spans="2:2" x14ac:dyDescent="0.2">
      <c r="B569" s="7"/>
    </row>
    <row r="570" spans="2:2" x14ac:dyDescent="0.2">
      <c r="B570" s="7"/>
    </row>
    <row r="571" spans="2:2" x14ac:dyDescent="0.2">
      <c r="B571" s="7"/>
    </row>
    <row r="572" spans="2:2" x14ac:dyDescent="0.2">
      <c r="B572" s="7"/>
    </row>
    <row r="573" spans="2:2" x14ac:dyDescent="0.2">
      <c r="B573" s="7"/>
    </row>
    <row r="574" spans="2:2" x14ac:dyDescent="0.2">
      <c r="B574" s="7"/>
    </row>
    <row r="575" spans="2:2" x14ac:dyDescent="0.2">
      <c r="B575" s="7"/>
    </row>
    <row r="576" spans="2:2" x14ac:dyDescent="0.2">
      <c r="B576" s="7"/>
    </row>
    <row r="577" spans="2:2" x14ac:dyDescent="0.2">
      <c r="B577" s="7"/>
    </row>
    <row r="578" spans="2:2" x14ac:dyDescent="0.2">
      <c r="B578" s="7"/>
    </row>
    <row r="579" spans="2:2" x14ac:dyDescent="0.2">
      <c r="B579" s="7"/>
    </row>
    <row r="580" spans="2:2" x14ac:dyDescent="0.2">
      <c r="B580" s="7"/>
    </row>
    <row r="581" spans="2:2" x14ac:dyDescent="0.2">
      <c r="B581" s="7"/>
    </row>
    <row r="582" spans="2:2" x14ac:dyDescent="0.2">
      <c r="B582" s="7"/>
    </row>
    <row r="583" spans="2:2" x14ac:dyDescent="0.2">
      <c r="B583" s="7"/>
    </row>
    <row r="584" spans="2:2" x14ac:dyDescent="0.2">
      <c r="B584" s="7"/>
    </row>
    <row r="585" spans="2:2" x14ac:dyDescent="0.2">
      <c r="B585" s="7"/>
    </row>
    <row r="586" spans="2:2" x14ac:dyDescent="0.2">
      <c r="B586" s="7"/>
    </row>
    <row r="587" spans="2:2" x14ac:dyDescent="0.2">
      <c r="B587" s="7"/>
    </row>
    <row r="588" spans="2:2" x14ac:dyDescent="0.2">
      <c r="B588" s="7"/>
    </row>
    <row r="589" spans="2:2" x14ac:dyDescent="0.2">
      <c r="B589" s="7"/>
    </row>
    <row r="590" spans="2:2" x14ac:dyDescent="0.2">
      <c r="B590" s="7"/>
    </row>
    <row r="591" spans="2:2" x14ac:dyDescent="0.2">
      <c r="B591" s="7"/>
    </row>
    <row r="592" spans="2:2" x14ac:dyDescent="0.2">
      <c r="B592" s="7"/>
    </row>
    <row r="593" spans="2:2" x14ac:dyDescent="0.2">
      <c r="B593" s="7"/>
    </row>
    <row r="594" spans="2:2" x14ac:dyDescent="0.2">
      <c r="B594" s="7"/>
    </row>
    <row r="595" spans="2:2" x14ac:dyDescent="0.2">
      <c r="B595" s="7"/>
    </row>
    <row r="596" spans="2:2" x14ac:dyDescent="0.2">
      <c r="B596" s="7"/>
    </row>
    <row r="597" spans="2:2" x14ac:dyDescent="0.2">
      <c r="B597" s="7"/>
    </row>
    <row r="598" spans="2:2" x14ac:dyDescent="0.2">
      <c r="B598" s="7"/>
    </row>
    <row r="599" spans="2:2" x14ac:dyDescent="0.2">
      <c r="B599" s="7"/>
    </row>
    <row r="600" spans="2:2" x14ac:dyDescent="0.2">
      <c r="B600" s="7"/>
    </row>
    <row r="601" spans="2:2" x14ac:dyDescent="0.2">
      <c r="B601" s="7"/>
    </row>
    <row r="602" spans="2:2" x14ac:dyDescent="0.2">
      <c r="B602" s="7"/>
    </row>
    <row r="603" spans="2:2" x14ac:dyDescent="0.2">
      <c r="B603" s="7"/>
    </row>
    <row r="604" spans="2:2" x14ac:dyDescent="0.2">
      <c r="B604" s="7"/>
    </row>
    <row r="605" spans="2:2" x14ac:dyDescent="0.2">
      <c r="B605" s="7"/>
    </row>
    <row r="606" spans="2:2" x14ac:dyDescent="0.2">
      <c r="B606" s="7"/>
    </row>
    <row r="607" spans="2:2" x14ac:dyDescent="0.2">
      <c r="B607" s="7"/>
    </row>
    <row r="608" spans="2:2" x14ac:dyDescent="0.2">
      <c r="B608" s="7"/>
    </row>
    <row r="609" spans="2:2" x14ac:dyDescent="0.2">
      <c r="B609" s="7"/>
    </row>
    <row r="610" spans="2:2" x14ac:dyDescent="0.2">
      <c r="B610" s="7"/>
    </row>
    <row r="611" spans="2:2" x14ac:dyDescent="0.2">
      <c r="B611" s="7"/>
    </row>
    <row r="612" spans="2:2" x14ac:dyDescent="0.2">
      <c r="B612" s="7"/>
    </row>
    <row r="613" spans="2:2" x14ac:dyDescent="0.2">
      <c r="B613" s="7"/>
    </row>
    <row r="614" spans="2:2" x14ac:dyDescent="0.2">
      <c r="B614" s="7"/>
    </row>
    <row r="615" spans="2:2" x14ac:dyDescent="0.2">
      <c r="B615" s="7"/>
    </row>
    <row r="616" spans="2:2" x14ac:dyDescent="0.2">
      <c r="B616" s="7"/>
    </row>
    <row r="617" spans="2:2" x14ac:dyDescent="0.2">
      <c r="B617" s="7"/>
    </row>
    <row r="618" spans="2:2" x14ac:dyDescent="0.2">
      <c r="B618" s="7"/>
    </row>
    <row r="619" spans="2:2" x14ac:dyDescent="0.2">
      <c r="B619" s="7"/>
    </row>
    <row r="620" spans="2:2" x14ac:dyDescent="0.2">
      <c r="B620" s="7"/>
    </row>
    <row r="621" spans="2:2" x14ac:dyDescent="0.2">
      <c r="B621" s="7"/>
    </row>
    <row r="622" spans="2:2" x14ac:dyDescent="0.2">
      <c r="B622" s="7"/>
    </row>
    <row r="623" spans="2:2" x14ac:dyDescent="0.2">
      <c r="B623" s="7"/>
    </row>
    <row r="624" spans="2:2" x14ac:dyDescent="0.2">
      <c r="B624" s="7"/>
    </row>
    <row r="625" spans="2:2" x14ac:dyDescent="0.2">
      <c r="B625" s="7"/>
    </row>
    <row r="626" spans="2:2" x14ac:dyDescent="0.2">
      <c r="B626" s="7"/>
    </row>
    <row r="627" spans="2:2" x14ac:dyDescent="0.2">
      <c r="B627" s="7"/>
    </row>
    <row r="628" spans="2:2" x14ac:dyDescent="0.2">
      <c r="B628" s="7"/>
    </row>
    <row r="629" spans="2:2" x14ac:dyDescent="0.2">
      <c r="B629" s="7"/>
    </row>
    <row r="630" spans="2:2" x14ac:dyDescent="0.2">
      <c r="B630" s="7"/>
    </row>
    <row r="631" spans="2:2" x14ac:dyDescent="0.2">
      <c r="B631" s="7"/>
    </row>
    <row r="632" spans="2:2" x14ac:dyDescent="0.2">
      <c r="B632" s="7"/>
    </row>
    <row r="633" spans="2:2" x14ac:dyDescent="0.2">
      <c r="B633" s="7"/>
    </row>
    <row r="634" spans="2:2" x14ac:dyDescent="0.2">
      <c r="B634" s="7"/>
    </row>
    <row r="635" spans="2:2" x14ac:dyDescent="0.2">
      <c r="B635" s="7"/>
    </row>
    <row r="636" spans="2:2" x14ac:dyDescent="0.2">
      <c r="B636" s="7"/>
    </row>
    <row r="637" spans="2:2" x14ac:dyDescent="0.2">
      <c r="B637" s="7"/>
    </row>
    <row r="638" spans="2:2" x14ac:dyDescent="0.2">
      <c r="B638" s="7"/>
    </row>
    <row r="639" spans="2:2" x14ac:dyDescent="0.2">
      <c r="B639" s="7"/>
    </row>
    <row r="640" spans="2:2" x14ac:dyDescent="0.2">
      <c r="B640" s="7"/>
    </row>
    <row r="641" spans="2:2" x14ac:dyDescent="0.2">
      <c r="B641" s="7"/>
    </row>
    <row r="642" spans="2:2" x14ac:dyDescent="0.2">
      <c r="B642" s="7"/>
    </row>
    <row r="643" spans="2:2" x14ac:dyDescent="0.2">
      <c r="B643" s="7"/>
    </row>
    <row r="644" spans="2:2" x14ac:dyDescent="0.2">
      <c r="B644" s="7"/>
    </row>
    <row r="645" spans="2:2" x14ac:dyDescent="0.2">
      <c r="B645" s="7"/>
    </row>
    <row r="646" spans="2:2" x14ac:dyDescent="0.2">
      <c r="B646" s="7"/>
    </row>
    <row r="647" spans="2:2" x14ac:dyDescent="0.2">
      <c r="B647" s="7"/>
    </row>
    <row r="648" spans="2:2" x14ac:dyDescent="0.2">
      <c r="B648" s="7"/>
    </row>
    <row r="649" spans="2:2" x14ac:dyDescent="0.2">
      <c r="B649" s="7"/>
    </row>
    <row r="650" spans="2:2" x14ac:dyDescent="0.2">
      <c r="B650" s="7"/>
    </row>
    <row r="651" spans="2:2" x14ac:dyDescent="0.2">
      <c r="B651" s="7"/>
    </row>
    <row r="652" spans="2:2" x14ac:dyDescent="0.2">
      <c r="B652" s="7"/>
    </row>
    <row r="653" spans="2:2" x14ac:dyDescent="0.2">
      <c r="B653" s="7"/>
    </row>
    <row r="654" spans="2:2" x14ac:dyDescent="0.2">
      <c r="B654" s="7"/>
    </row>
    <row r="655" spans="2:2" x14ac:dyDescent="0.2">
      <c r="B655" s="7"/>
    </row>
    <row r="656" spans="2:2" x14ac:dyDescent="0.2">
      <c r="B656" s="7"/>
    </row>
    <row r="657" spans="2:2" x14ac:dyDescent="0.2">
      <c r="B657" s="7"/>
    </row>
    <row r="658" spans="2:2" x14ac:dyDescent="0.2">
      <c r="B658" s="7"/>
    </row>
    <row r="659" spans="2:2" x14ac:dyDescent="0.2">
      <c r="B659" s="7"/>
    </row>
    <row r="660" spans="2:2" x14ac:dyDescent="0.2">
      <c r="B660" s="7"/>
    </row>
    <row r="661" spans="2:2" x14ac:dyDescent="0.2">
      <c r="B661" s="7"/>
    </row>
    <row r="662" spans="2:2" x14ac:dyDescent="0.2">
      <c r="B662" s="7"/>
    </row>
    <row r="663" spans="2:2" x14ac:dyDescent="0.2">
      <c r="B663" s="7"/>
    </row>
    <row r="664" spans="2:2" x14ac:dyDescent="0.2">
      <c r="B664" s="7"/>
    </row>
    <row r="665" spans="2:2" x14ac:dyDescent="0.2">
      <c r="B665" s="7"/>
    </row>
    <row r="666" spans="2:2" x14ac:dyDescent="0.2">
      <c r="B666" s="7"/>
    </row>
    <row r="667" spans="2:2" x14ac:dyDescent="0.2">
      <c r="B667" s="7"/>
    </row>
    <row r="668" spans="2:2" x14ac:dyDescent="0.2">
      <c r="B668" s="7"/>
    </row>
    <row r="669" spans="2:2" x14ac:dyDescent="0.2">
      <c r="B669" s="7"/>
    </row>
    <row r="670" spans="2:2" x14ac:dyDescent="0.2">
      <c r="B670" s="7"/>
    </row>
    <row r="671" spans="2:2" x14ac:dyDescent="0.2">
      <c r="B671" s="7"/>
    </row>
    <row r="672" spans="2:2" x14ac:dyDescent="0.2">
      <c r="B672" s="7"/>
    </row>
    <row r="673" spans="2:2" x14ac:dyDescent="0.2">
      <c r="B673" s="7"/>
    </row>
    <row r="674" spans="2:2" x14ac:dyDescent="0.2">
      <c r="B674" s="7"/>
    </row>
    <row r="675" spans="2:2" x14ac:dyDescent="0.2">
      <c r="B675" s="7"/>
    </row>
    <row r="676" spans="2:2" x14ac:dyDescent="0.2">
      <c r="B676" s="7"/>
    </row>
    <row r="677" spans="2:2" x14ac:dyDescent="0.2">
      <c r="B677" s="7"/>
    </row>
    <row r="678" spans="2:2" x14ac:dyDescent="0.2">
      <c r="B678" s="7"/>
    </row>
    <row r="679" spans="2:2" x14ac:dyDescent="0.2">
      <c r="B679" s="7"/>
    </row>
    <row r="680" spans="2:2" x14ac:dyDescent="0.2">
      <c r="B680" s="7"/>
    </row>
    <row r="681" spans="2:2" x14ac:dyDescent="0.2">
      <c r="B681" s="7"/>
    </row>
    <row r="682" spans="2:2" x14ac:dyDescent="0.2">
      <c r="B682" s="7"/>
    </row>
    <row r="683" spans="2:2" x14ac:dyDescent="0.2">
      <c r="B683" s="7"/>
    </row>
    <row r="684" spans="2:2" x14ac:dyDescent="0.2">
      <c r="B684" s="7"/>
    </row>
    <row r="685" spans="2:2" x14ac:dyDescent="0.2">
      <c r="B685" s="7"/>
    </row>
    <row r="686" spans="2:2" x14ac:dyDescent="0.2">
      <c r="B686" s="7"/>
    </row>
    <row r="687" spans="2:2" x14ac:dyDescent="0.2">
      <c r="B687" s="7"/>
    </row>
    <row r="688" spans="2:2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  <row r="770" spans="2:2" x14ac:dyDescent="0.2">
      <c r="B770" s="7"/>
    </row>
    <row r="771" spans="2:2" x14ac:dyDescent="0.2">
      <c r="B771" s="7"/>
    </row>
    <row r="772" spans="2:2" x14ac:dyDescent="0.2">
      <c r="B772" s="7"/>
    </row>
    <row r="773" spans="2:2" x14ac:dyDescent="0.2">
      <c r="B773" s="7"/>
    </row>
    <row r="774" spans="2:2" x14ac:dyDescent="0.2">
      <c r="B774" s="7"/>
    </row>
    <row r="775" spans="2:2" x14ac:dyDescent="0.2">
      <c r="B775" s="7"/>
    </row>
    <row r="776" spans="2:2" x14ac:dyDescent="0.2">
      <c r="B776" s="7"/>
    </row>
    <row r="777" spans="2:2" x14ac:dyDescent="0.2">
      <c r="B777" s="7"/>
    </row>
    <row r="778" spans="2:2" x14ac:dyDescent="0.2">
      <c r="B778" s="7"/>
    </row>
    <row r="779" spans="2:2" x14ac:dyDescent="0.2">
      <c r="B779" s="7"/>
    </row>
    <row r="780" spans="2:2" x14ac:dyDescent="0.2">
      <c r="B780" s="7"/>
    </row>
    <row r="781" spans="2:2" x14ac:dyDescent="0.2">
      <c r="B781" s="7"/>
    </row>
    <row r="782" spans="2:2" x14ac:dyDescent="0.2">
      <c r="B782" s="7"/>
    </row>
    <row r="783" spans="2:2" x14ac:dyDescent="0.2">
      <c r="B783" s="7"/>
    </row>
    <row r="784" spans="2:2" x14ac:dyDescent="0.2">
      <c r="B784" s="7"/>
    </row>
    <row r="785" spans="2:2" x14ac:dyDescent="0.2">
      <c r="B785" s="7"/>
    </row>
    <row r="786" spans="2:2" x14ac:dyDescent="0.2">
      <c r="B786" s="7"/>
    </row>
    <row r="787" spans="2:2" x14ac:dyDescent="0.2">
      <c r="B787" s="7"/>
    </row>
    <row r="788" spans="2:2" x14ac:dyDescent="0.2">
      <c r="B788" s="7"/>
    </row>
    <row r="789" spans="2:2" x14ac:dyDescent="0.2">
      <c r="B789" s="7"/>
    </row>
    <row r="790" spans="2:2" x14ac:dyDescent="0.2">
      <c r="B790" s="7"/>
    </row>
    <row r="791" spans="2:2" x14ac:dyDescent="0.2">
      <c r="B791" s="7"/>
    </row>
    <row r="792" spans="2:2" x14ac:dyDescent="0.2">
      <c r="B792" s="7"/>
    </row>
    <row r="793" spans="2:2" x14ac:dyDescent="0.2">
      <c r="B793" s="7"/>
    </row>
    <row r="794" spans="2:2" x14ac:dyDescent="0.2">
      <c r="B794" s="7"/>
    </row>
    <row r="795" spans="2:2" x14ac:dyDescent="0.2">
      <c r="B795" s="7"/>
    </row>
    <row r="796" spans="2:2" x14ac:dyDescent="0.2">
      <c r="B796" s="7"/>
    </row>
    <row r="797" spans="2:2" x14ac:dyDescent="0.2">
      <c r="B797" s="7"/>
    </row>
    <row r="798" spans="2:2" x14ac:dyDescent="0.2">
      <c r="B798" s="7"/>
    </row>
    <row r="799" spans="2:2" x14ac:dyDescent="0.2">
      <c r="B799" s="7"/>
    </row>
    <row r="800" spans="2:2" x14ac:dyDescent="0.2">
      <c r="B800" s="7"/>
    </row>
    <row r="801" spans="2:2" x14ac:dyDescent="0.2">
      <c r="B801" s="7"/>
    </row>
    <row r="802" spans="2:2" x14ac:dyDescent="0.2">
      <c r="B802" s="7"/>
    </row>
    <row r="803" spans="2:2" x14ac:dyDescent="0.2">
      <c r="B803" s="7"/>
    </row>
    <row r="804" spans="2:2" x14ac:dyDescent="0.2">
      <c r="B804" s="7"/>
    </row>
    <row r="805" spans="2:2" x14ac:dyDescent="0.2">
      <c r="B805" s="7"/>
    </row>
    <row r="806" spans="2:2" x14ac:dyDescent="0.2">
      <c r="B806" s="7"/>
    </row>
    <row r="807" spans="2:2" x14ac:dyDescent="0.2">
      <c r="B807" s="7"/>
    </row>
    <row r="808" spans="2:2" x14ac:dyDescent="0.2">
      <c r="B808" s="7"/>
    </row>
    <row r="809" spans="2:2" x14ac:dyDescent="0.2">
      <c r="B809" s="7"/>
    </row>
    <row r="810" spans="2:2" x14ac:dyDescent="0.2">
      <c r="B810" s="7"/>
    </row>
    <row r="811" spans="2:2" x14ac:dyDescent="0.2">
      <c r="B811" s="7"/>
    </row>
    <row r="812" spans="2:2" x14ac:dyDescent="0.2">
      <c r="B812" s="7"/>
    </row>
    <row r="813" spans="2:2" x14ac:dyDescent="0.2">
      <c r="B813" s="7"/>
    </row>
    <row r="814" spans="2:2" x14ac:dyDescent="0.2">
      <c r="B814" s="7"/>
    </row>
    <row r="815" spans="2:2" x14ac:dyDescent="0.2">
      <c r="B815" s="7"/>
    </row>
    <row r="816" spans="2:2" x14ac:dyDescent="0.2">
      <c r="B816" s="7"/>
    </row>
    <row r="817" spans="2:2" x14ac:dyDescent="0.2">
      <c r="B817" s="7"/>
    </row>
    <row r="818" spans="2:2" x14ac:dyDescent="0.2">
      <c r="B818" s="7"/>
    </row>
    <row r="819" spans="2:2" x14ac:dyDescent="0.2">
      <c r="B819" s="7"/>
    </row>
    <row r="820" spans="2:2" x14ac:dyDescent="0.2">
      <c r="B820" s="7"/>
    </row>
    <row r="821" spans="2:2" x14ac:dyDescent="0.2">
      <c r="B821" s="7"/>
    </row>
    <row r="822" spans="2:2" x14ac:dyDescent="0.2">
      <c r="B822" s="7"/>
    </row>
    <row r="823" spans="2:2" x14ac:dyDescent="0.2">
      <c r="B823" s="7"/>
    </row>
    <row r="824" spans="2:2" x14ac:dyDescent="0.2">
      <c r="B824" s="7"/>
    </row>
    <row r="825" spans="2:2" x14ac:dyDescent="0.2">
      <c r="B825" s="7"/>
    </row>
    <row r="826" spans="2:2" x14ac:dyDescent="0.2">
      <c r="B826" s="7"/>
    </row>
    <row r="827" spans="2:2" x14ac:dyDescent="0.2">
      <c r="B827" s="7"/>
    </row>
    <row r="828" spans="2:2" x14ac:dyDescent="0.2">
      <c r="B828" s="7"/>
    </row>
    <row r="829" spans="2:2" x14ac:dyDescent="0.2">
      <c r="B829" s="7"/>
    </row>
    <row r="830" spans="2:2" x14ac:dyDescent="0.2">
      <c r="B830" s="7"/>
    </row>
    <row r="831" spans="2:2" x14ac:dyDescent="0.2">
      <c r="B831" s="7"/>
    </row>
    <row r="832" spans="2:2" x14ac:dyDescent="0.2">
      <c r="B832" s="7"/>
    </row>
    <row r="833" spans="2:2" x14ac:dyDescent="0.2">
      <c r="B833" s="7"/>
    </row>
    <row r="834" spans="2:2" x14ac:dyDescent="0.2">
      <c r="B834" s="7"/>
    </row>
    <row r="835" spans="2:2" x14ac:dyDescent="0.2">
      <c r="B835" s="7"/>
    </row>
    <row r="836" spans="2:2" x14ac:dyDescent="0.2">
      <c r="B836" s="7"/>
    </row>
    <row r="837" spans="2:2" x14ac:dyDescent="0.2">
      <c r="B837" s="7"/>
    </row>
    <row r="838" spans="2:2" x14ac:dyDescent="0.2">
      <c r="B838" s="7"/>
    </row>
    <row r="839" spans="2:2" x14ac:dyDescent="0.2">
      <c r="B839" s="7"/>
    </row>
    <row r="840" spans="2:2" x14ac:dyDescent="0.2">
      <c r="B840" s="7"/>
    </row>
    <row r="841" spans="2:2" x14ac:dyDescent="0.2">
      <c r="B841" s="7"/>
    </row>
    <row r="842" spans="2:2" x14ac:dyDescent="0.2">
      <c r="B842" s="7"/>
    </row>
    <row r="843" spans="2:2" x14ac:dyDescent="0.2">
      <c r="B843" s="7"/>
    </row>
    <row r="844" spans="2:2" x14ac:dyDescent="0.2">
      <c r="B844" s="7"/>
    </row>
    <row r="845" spans="2:2" x14ac:dyDescent="0.2">
      <c r="B845" s="7"/>
    </row>
    <row r="846" spans="2:2" x14ac:dyDescent="0.2">
      <c r="B846" s="7"/>
    </row>
    <row r="847" spans="2:2" x14ac:dyDescent="0.2">
      <c r="B847" s="7"/>
    </row>
    <row r="848" spans="2:2" x14ac:dyDescent="0.2">
      <c r="B848" s="7"/>
    </row>
    <row r="849" spans="2:2" x14ac:dyDescent="0.2">
      <c r="B849" s="7"/>
    </row>
    <row r="850" spans="2:2" x14ac:dyDescent="0.2">
      <c r="B850" s="7"/>
    </row>
    <row r="851" spans="2:2" x14ac:dyDescent="0.2">
      <c r="B851" s="7"/>
    </row>
    <row r="852" spans="2:2" x14ac:dyDescent="0.2">
      <c r="B852" s="7"/>
    </row>
    <row r="853" spans="2:2" x14ac:dyDescent="0.2">
      <c r="B853" s="7"/>
    </row>
    <row r="854" spans="2:2" x14ac:dyDescent="0.2">
      <c r="B854" s="7"/>
    </row>
    <row r="855" spans="2:2" x14ac:dyDescent="0.2">
      <c r="B855" s="7"/>
    </row>
    <row r="856" spans="2:2" x14ac:dyDescent="0.2">
      <c r="B856" s="7"/>
    </row>
    <row r="857" spans="2:2" x14ac:dyDescent="0.2">
      <c r="B857" s="7"/>
    </row>
    <row r="858" spans="2:2" x14ac:dyDescent="0.2">
      <c r="B858" s="7"/>
    </row>
    <row r="859" spans="2:2" x14ac:dyDescent="0.2">
      <c r="B859" s="7"/>
    </row>
    <row r="860" spans="2:2" x14ac:dyDescent="0.2">
      <c r="B860" s="7"/>
    </row>
    <row r="861" spans="2:2" x14ac:dyDescent="0.2">
      <c r="B861" s="7"/>
    </row>
    <row r="862" spans="2:2" x14ac:dyDescent="0.2">
      <c r="B862" s="7"/>
    </row>
    <row r="863" spans="2:2" x14ac:dyDescent="0.2">
      <c r="B863" s="7"/>
    </row>
    <row r="864" spans="2:2" x14ac:dyDescent="0.2">
      <c r="B864" s="7"/>
    </row>
    <row r="865" spans="2:2" x14ac:dyDescent="0.2">
      <c r="B865" s="7"/>
    </row>
    <row r="866" spans="2:2" x14ac:dyDescent="0.2">
      <c r="B866" s="7"/>
    </row>
    <row r="867" spans="2:2" x14ac:dyDescent="0.2">
      <c r="B867" s="7"/>
    </row>
    <row r="868" spans="2:2" x14ac:dyDescent="0.2">
      <c r="B868" s="7"/>
    </row>
    <row r="869" spans="2:2" x14ac:dyDescent="0.2">
      <c r="B869" s="7"/>
    </row>
    <row r="870" spans="2:2" x14ac:dyDescent="0.2">
      <c r="B870" s="7"/>
    </row>
    <row r="871" spans="2:2" x14ac:dyDescent="0.2">
      <c r="B871" s="7"/>
    </row>
    <row r="872" spans="2:2" x14ac:dyDescent="0.2">
      <c r="B872" s="7"/>
    </row>
    <row r="873" spans="2:2" x14ac:dyDescent="0.2">
      <c r="B873" s="7"/>
    </row>
    <row r="874" spans="2:2" x14ac:dyDescent="0.2">
      <c r="B874" s="7"/>
    </row>
    <row r="875" spans="2:2" x14ac:dyDescent="0.2">
      <c r="B875" s="7"/>
    </row>
    <row r="876" spans="2:2" x14ac:dyDescent="0.2">
      <c r="B876" s="7"/>
    </row>
    <row r="877" spans="2:2" x14ac:dyDescent="0.2">
      <c r="B877" s="7"/>
    </row>
    <row r="878" spans="2:2" x14ac:dyDescent="0.2">
      <c r="B878" s="7"/>
    </row>
    <row r="879" spans="2:2" x14ac:dyDescent="0.2">
      <c r="B879" s="7"/>
    </row>
    <row r="880" spans="2:2" x14ac:dyDescent="0.2">
      <c r="B880" s="7"/>
    </row>
    <row r="881" spans="2:2" x14ac:dyDescent="0.2">
      <c r="B881" s="7"/>
    </row>
    <row r="882" spans="2:2" x14ac:dyDescent="0.2">
      <c r="B882" s="7"/>
    </row>
    <row r="883" spans="2:2" x14ac:dyDescent="0.2">
      <c r="B883" s="7"/>
    </row>
    <row r="884" spans="2:2" x14ac:dyDescent="0.2">
      <c r="B884" s="7"/>
    </row>
    <row r="885" spans="2:2" x14ac:dyDescent="0.2">
      <c r="B885" s="7"/>
    </row>
    <row r="886" spans="2:2" x14ac:dyDescent="0.2">
      <c r="B886" s="7"/>
    </row>
    <row r="887" spans="2:2" x14ac:dyDescent="0.2">
      <c r="B887" s="7"/>
    </row>
    <row r="888" spans="2:2" x14ac:dyDescent="0.2">
      <c r="B888" s="7"/>
    </row>
    <row r="889" spans="2:2" x14ac:dyDescent="0.2">
      <c r="B889" s="7"/>
    </row>
    <row r="890" spans="2:2" x14ac:dyDescent="0.2">
      <c r="B890" s="7"/>
    </row>
    <row r="891" spans="2:2" x14ac:dyDescent="0.2">
      <c r="B891" s="7"/>
    </row>
    <row r="892" spans="2:2" x14ac:dyDescent="0.2">
      <c r="B892" s="7"/>
    </row>
    <row r="893" spans="2:2" x14ac:dyDescent="0.2">
      <c r="B893" s="7"/>
    </row>
    <row r="894" spans="2:2" x14ac:dyDescent="0.2">
      <c r="B894" s="7"/>
    </row>
    <row r="895" spans="2:2" x14ac:dyDescent="0.2">
      <c r="B895" s="7"/>
    </row>
    <row r="896" spans="2:2" x14ac:dyDescent="0.2">
      <c r="B896" s="7"/>
    </row>
    <row r="897" spans="2:2" x14ac:dyDescent="0.2">
      <c r="B897" s="7"/>
    </row>
    <row r="898" spans="2:2" x14ac:dyDescent="0.2">
      <c r="B898" s="7"/>
    </row>
    <row r="899" spans="2:2" x14ac:dyDescent="0.2">
      <c r="B899" s="7"/>
    </row>
    <row r="900" spans="2:2" x14ac:dyDescent="0.2">
      <c r="B900" s="7"/>
    </row>
    <row r="901" spans="2:2" x14ac:dyDescent="0.2">
      <c r="B901" s="7"/>
    </row>
    <row r="902" spans="2:2" x14ac:dyDescent="0.2">
      <c r="B902" s="7"/>
    </row>
    <row r="903" spans="2:2" x14ac:dyDescent="0.2">
      <c r="B903" s="7"/>
    </row>
    <row r="904" spans="2:2" x14ac:dyDescent="0.2">
      <c r="B904" s="7"/>
    </row>
    <row r="905" spans="2:2" x14ac:dyDescent="0.2">
      <c r="B905" s="7"/>
    </row>
    <row r="906" spans="2:2" x14ac:dyDescent="0.2">
      <c r="B906" s="7"/>
    </row>
    <row r="907" spans="2:2" x14ac:dyDescent="0.2">
      <c r="B907" s="7"/>
    </row>
    <row r="908" spans="2:2" x14ac:dyDescent="0.2">
      <c r="B908" s="7"/>
    </row>
    <row r="909" spans="2:2" x14ac:dyDescent="0.2">
      <c r="B909" s="7"/>
    </row>
    <row r="910" spans="2:2" x14ac:dyDescent="0.2">
      <c r="B910" s="7"/>
    </row>
    <row r="911" spans="2:2" x14ac:dyDescent="0.2">
      <c r="B911" s="7"/>
    </row>
    <row r="912" spans="2:2" x14ac:dyDescent="0.2">
      <c r="B912" s="7"/>
    </row>
    <row r="913" spans="2:2" x14ac:dyDescent="0.2">
      <c r="B913" s="7"/>
    </row>
    <row r="914" spans="2:2" x14ac:dyDescent="0.2">
      <c r="B914" s="7"/>
    </row>
    <row r="915" spans="2:2" x14ac:dyDescent="0.2">
      <c r="B915" s="7"/>
    </row>
    <row r="916" spans="2:2" x14ac:dyDescent="0.2">
      <c r="B916" s="7"/>
    </row>
    <row r="917" spans="2:2" x14ac:dyDescent="0.2">
      <c r="B917" s="7"/>
    </row>
    <row r="918" spans="2:2" x14ac:dyDescent="0.2">
      <c r="B918" s="7"/>
    </row>
    <row r="919" spans="2:2" x14ac:dyDescent="0.2">
      <c r="B919" s="7"/>
    </row>
    <row r="920" spans="2:2" x14ac:dyDescent="0.2">
      <c r="B920" s="7"/>
    </row>
    <row r="921" spans="2:2" x14ac:dyDescent="0.2">
      <c r="B921" s="7"/>
    </row>
    <row r="922" spans="2:2" x14ac:dyDescent="0.2">
      <c r="B922" s="7"/>
    </row>
    <row r="923" spans="2:2" x14ac:dyDescent="0.2">
      <c r="B923" s="7"/>
    </row>
    <row r="924" spans="2:2" x14ac:dyDescent="0.2">
      <c r="B924" s="7"/>
    </row>
    <row r="925" spans="2:2" x14ac:dyDescent="0.2">
      <c r="B925" s="7"/>
    </row>
    <row r="926" spans="2:2" x14ac:dyDescent="0.2">
      <c r="B926" s="7"/>
    </row>
    <row r="927" spans="2:2" x14ac:dyDescent="0.2">
      <c r="B927" s="7"/>
    </row>
    <row r="928" spans="2:2" x14ac:dyDescent="0.2">
      <c r="B928" s="7"/>
    </row>
    <row r="929" spans="2:2" x14ac:dyDescent="0.2">
      <c r="B929" s="7"/>
    </row>
    <row r="930" spans="2:2" x14ac:dyDescent="0.2">
      <c r="B930" s="7"/>
    </row>
    <row r="931" spans="2:2" x14ac:dyDescent="0.2">
      <c r="B931" s="7"/>
    </row>
    <row r="932" spans="2:2" x14ac:dyDescent="0.2">
      <c r="B932" s="7"/>
    </row>
    <row r="933" spans="2:2" x14ac:dyDescent="0.2">
      <c r="B933" s="7"/>
    </row>
    <row r="934" spans="2:2" x14ac:dyDescent="0.2">
      <c r="B934" s="7"/>
    </row>
    <row r="935" spans="2:2" x14ac:dyDescent="0.2">
      <c r="B935" s="7"/>
    </row>
    <row r="936" spans="2:2" x14ac:dyDescent="0.2">
      <c r="B936" s="7"/>
    </row>
    <row r="937" spans="2:2" x14ac:dyDescent="0.2">
      <c r="B937" s="7"/>
    </row>
    <row r="938" spans="2:2" x14ac:dyDescent="0.2">
      <c r="B938" s="7"/>
    </row>
    <row r="939" spans="2:2" x14ac:dyDescent="0.2">
      <c r="B939" s="7"/>
    </row>
    <row r="940" spans="2:2" x14ac:dyDescent="0.2">
      <c r="B940" s="7"/>
    </row>
    <row r="941" spans="2:2" x14ac:dyDescent="0.2">
      <c r="B941" s="7"/>
    </row>
    <row r="942" spans="2:2" x14ac:dyDescent="0.2">
      <c r="B942" s="7"/>
    </row>
    <row r="943" spans="2:2" x14ac:dyDescent="0.2">
      <c r="B943" s="7"/>
    </row>
    <row r="944" spans="2:2" x14ac:dyDescent="0.2">
      <c r="B944" s="7"/>
    </row>
    <row r="945" spans="2:2" x14ac:dyDescent="0.2">
      <c r="B945" s="7"/>
    </row>
    <row r="946" spans="2:2" x14ac:dyDescent="0.2">
      <c r="B946" s="7"/>
    </row>
    <row r="947" spans="2:2" x14ac:dyDescent="0.2">
      <c r="B947" s="7"/>
    </row>
    <row r="948" spans="2:2" x14ac:dyDescent="0.2">
      <c r="B948" s="7"/>
    </row>
    <row r="949" spans="2:2" x14ac:dyDescent="0.2">
      <c r="B949" s="7"/>
    </row>
    <row r="950" spans="2:2" x14ac:dyDescent="0.2">
      <c r="B950" s="7"/>
    </row>
    <row r="951" spans="2:2" x14ac:dyDescent="0.2">
      <c r="B951" s="7"/>
    </row>
    <row r="952" spans="2:2" x14ac:dyDescent="0.2">
      <c r="B952" s="7"/>
    </row>
    <row r="953" spans="2:2" x14ac:dyDescent="0.2">
      <c r="B953" s="7"/>
    </row>
    <row r="954" spans="2:2" x14ac:dyDescent="0.2">
      <c r="B954" s="7"/>
    </row>
    <row r="955" spans="2:2" x14ac:dyDescent="0.2">
      <c r="B955" s="7"/>
    </row>
    <row r="956" spans="2:2" x14ac:dyDescent="0.2">
      <c r="B956" s="7"/>
    </row>
    <row r="957" spans="2:2" x14ac:dyDescent="0.2">
      <c r="B957" s="7"/>
    </row>
    <row r="958" spans="2:2" x14ac:dyDescent="0.2">
      <c r="B958" s="7"/>
    </row>
    <row r="959" spans="2:2" x14ac:dyDescent="0.2">
      <c r="B959" s="7"/>
    </row>
    <row r="960" spans="2:2" x14ac:dyDescent="0.2">
      <c r="B960" s="7"/>
    </row>
    <row r="961" spans="2:2" x14ac:dyDescent="0.2">
      <c r="B961" s="7"/>
    </row>
    <row r="962" spans="2:2" x14ac:dyDescent="0.2">
      <c r="B962" s="7"/>
    </row>
    <row r="963" spans="2:2" x14ac:dyDescent="0.2">
      <c r="B963" s="7"/>
    </row>
    <row r="964" spans="2:2" x14ac:dyDescent="0.2">
      <c r="B964" s="7"/>
    </row>
    <row r="965" spans="2:2" x14ac:dyDescent="0.2">
      <c r="B965" s="7"/>
    </row>
    <row r="966" spans="2:2" x14ac:dyDescent="0.2">
      <c r="B966" s="7"/>
    </row>
    <row r="967" spans="2:2" x14ac:dyDescent="0.2">
      <c r="B967" s="7"/>
    </row>
    <row r="968" spans="2:2" x14ac:dyDescent="0.2">
      <c r="B968" s="7"/>
    </row>
    <row r="969" spans="2:2" x14ac:dyDescent="0.2">
      <c r="B969" s="7"/>
    </row>
    <row r="970" spans="2:2" x14ac:dyDescent="0.2">
      <c r="B970" s="7"/>
    </row>
    <row r="971" spans="2:2" x14ac:dyDescent="0.2">
      <c r="B971" s="7"/>
    </row>
    <row r="972" spans="2:2" x14ac:dyDescent="0.2">
      <c r="B972" s="7"/>
    </row>
    <row r="973" spans="2:2" x14ac:dyDescent="0.2">
      <c r="B973" s="7"/>
    </row>
    <row r="974" spans="2:2" x14ac:dyDescent="0.2">
      <c r="B974" s="7"/>
    </row>
    <row r="975" spans="2:2" x14ac:dyDescent="0.2">
      <c r="B975" s="7"/>
    </row>
    <row r="976" spans="2:2" x14ac:dyDescent="0.2">
      <c r="B976" s="7"/>
    </row>
    <row r="977" spans="2:2" x14ac:dyDescent="0.2">
      <c r="B977" s="7"/>
    </row>
    <row r="978" spans="2:2" x14ac:dyDescent="0.2">
      <c r="B978" s="7"/>
    </row>
    <row r="979" spans="2:2" x14ac:dyDescent="0.2">
      <c r="B979" s="7"/>
    </row>
    <row r="980" spans="2:2" x14ac:dyDescent="0.2">
      <c r="B980" s="7"/>
    </row>
    <row r="981" spans="2:2" x14ac:dyDescent="0.2">
      <c r="B981" s="7"/>
    </row>
    <row r="982" spans="2:2" x14ac:dyDescent="0.2">
      <c r="B982" s="7"/>
    </row>
    <row r="983" spans="2:2" x14ac:dyDescent="0.2">
      <c r="B983" s="7"/>
    </row>
    <row r="984" spans="2:2" x14ac:dyDescent="0.2">
      <c r="B984" s="7"/>
    </row>
    <row r="985" spans="2:2" x14ac:dyDescent="0.2">
      <c r="B985" s="7"/>
    </row>
    <row r="986" spans="2:2" x14ac:dyDescent="0.2">
      <c r="B986" s="7"/>
    </row>
    <row r="987" spans="2:2" x14ac:dyDescent="0.2">
      <c r="B987" s="7"/>
    </row>
    <row r="988" spans="2:2" x14ac:dyDescent="0.2">
      <c r="B988" s="7"/>
    </row>
    <row r="989" spans="2:2" x14ac:dyDescent="0.2">
      <c r="B989" s="7"/>
    </row>
    <row r="990" spans="2:2" x14ac:dyDescent="0.2">
      <c r="B990" s="7"/>
    </row>
    <row r="991" spans="2:2" x14ac:dyDescent="0.2">
      <c r="B991" s="7"/>
    </row>
    <row r="992" spans="2:2" x14ac:dyDescent="0.2">
      <c r="B992" s="7"/>
    </row>
    <row r="993" spans="2:2" x14ac:dyDescent="0.2">
      <c r="B993" s="7"/>
    </row>
    <row r="994" spans="2:2" x14ac:dyDescent="0.2">
      <c r="B994" s="7"/>
    </row>
    <row r="995" spans="2:2" x14ac:dyDescent="0.2">
      <c r="B995" s="7"/>
    </row>
    <row r="996" spans="2:2" x14ac:dyDescent="0.2">
      <c r="B996" s="7"/>
    </row>
    <row r="997" spans="2:2" x14ac:dyDescent="0.2">
      <c r="B997" s="7"/>
    </row>
    <row r="998" spans="2:2" x14ac:dyDescent="0.2">
      <c r="B998" s="7"/>
    </row>
    <row r="999" spans="2:2" x14ac:dyDescent="0.2">
      <c r="B999" s="7"/>
    </row>
    <row r="1000" spans="2:2" x14ac:dyDescent="0.2">
      <c r="B1000" s="7"/>
    </row>
    <row r="1001" spans="2:2" x14ac:dyDescent="0.2">
      <c r="B1001" s="7"/>
    </row>
    <row r="1002" spans="2:2" x14ac:dyDescent="0.2">
      <c r="B1002" s="7"/>
    </row>
    <row r="1003" spans="2:2" x14ac:dyDescent="0.2">
      <c r="B1003" s="7"/>
    </row>
    <row r="1004" spans="2:2" x14ac:dyDescent="0.2">
      <c r="B1004" s="7"/>
    </row>
    <row r="1005" spans="2:2" x14ac:dyDescent="0.2">
      <c r="B1005" s="7"/>
    </row>
    <row r="1006" spans="2:2" x14ac:dyDescent="0.2">
      <c r="B1006" s="7"/>
    </row>
    <row r="1007" spans="2:2" x14ac:dyDescent="0.2">
      <c r="B1007" s="7"/>
    </row>
    <row r="1008" spans="2:2" x14ac:dyDescent="0.2">
      <c r="B1008" s="7"/>
    </row>
    <row r="1009" spans="2:2" x14ac:dyDescent="0.2">
      <c r="B1009" s="7"/>
    </row>
    <row r="1010" spans="2:2" x14ac:dyDescent="0.2">
      <c r="B1010" s="7"/>
    </row>
    <row r="1011" spans="2:2" x14ac:dyDescent="0.2">
      <c r="B1011" s="7"/>
    </row>
    <row r="1012" spans="2:2" x14ac:dyDescent="0.2">
      <c r="B1012" s="7"/>
    </row>
    <row r="1013" spans="2:2" x14ac:dyDescent="0.2">
      <c r="B1013" s="7"/>
    </row>
    <row r="1014" spans="2:2" x14ac:dyDescent="0.2">
      <c r="B1014" s="7"/>
    </row>
    <row r="1015" spans="2:2" x14ac:dyDescent="0.2">
      <c r="B1015" s="7"/>
    </row>
    <row r="1016" spans="2:2" x14ac:dyDescent="0.2">
      <c r="B1016" s="7"/>
    </row>
    <row r="1017" spans="2:2" x14ac:dyDescent="0.2">
      <c r="B1017" s="7"/>
    </row>
    <row r="1018" spans="2:2" x14ac:dyDescent="0.2">
      <c r="B1018" s="7"/>
    </row>
    <row r="1019" spans="2:2" x14ac:dyDescent="0.2">
      <c r="B1019" s="7"/>
    </row>
    <row r="1020" spans="2:2" x14ac:dyDescent="0.2">
      <c r="B1020" s="7"/>
    </row>
    <row r="1021" spans="2:2" x14ac:dyDescent="0.2">
      <c r="B1021" s="7"/>
    </row>
    <row r="1022" spans="2:2" x14ac:dyDescent="0.2">
      <c r="B1022" s="7"/>
    </row>
    <row r="1023" spans="2:2" x14ac:dyDescent="0.2">
      <c r="B1023" s="7"/>
    </row>
    <row r="1024" spans="2:2" x14ac:dyDescent="0.2">
      <c r="B1024" s="7"/>
    </row>
    <row r="1025" spans="2:2" x14ac:dyDescent="0.2">
      <c r="B1025" s="7"/>
    </row>
    <row r="1026" spans="2:2" x14ac:dyDescent="0.2">
      <c r="B1026" s="7"/>
    </row>
    <row r="1027" spans="2:2" x14ac:dyDescent="0.2">
      <c r="B1027" s="7"/>
    </row>
    <row r="1028" spans="2:2" x14ac:dyDescent="0.2">
      <c r="B1028" s="7"/>
    </row>
    <row r="1029" spans="2:2" x14ac:dyDescent="0.2">
      <c r="B1029" s="7"/>
    </row>
    <row r="1030" spans="2:2" x14ac:dyDescent="0.2">
      <c r="B1030" s="7"/>
    </row>
    <row r="1031" spans="2:2" x14ac:dyDescent="0.2">
      <c r="B1031" s="7"/>
    </row>
    <row r="1032" spans="2:2" x14ac:dyDescent="0.2">
      <c r="B1032" s="7"/>
    </row>
    <row r="1033" spans="2:2" x14ac:dyDescent="0.2">
      <c r="B1033" s="7"/>
    </row>
    <row r="1034" spans="2:2" x14ac:dyDescent="0.2">
      <c r="B1034" s="7"/>
    </row>
    <row r="1035" spans="2:2" x14ac:dyDescent="0.2">
      <c r="B1035" s="7"/>
    </row>
    <row r="1036" spans="2:2" x14ac:dyDescent="0.2">
      <c r="B1036" s="7"/>
    </row>
    <row r="1037" spans="2:2" x14ac:dyDescent="0.2">
      <c r="B1037" s="7"/>
    </row>
    <row r="1038" spans="2:2" x14ac:dyDescent="0.2">
      <c r="B1038" s="7"/>
    </row>
    <row r="1039" spans="2:2" x14ac:dyDescent="0.2">
      <c r="B1039" s="7"/>
    </row>
    <row r="1040" spans="2:2" x14ac:dyDescent="0.2">
      <c r="B1040" s="7"/>
    </row>
    <row r="1041" spans="2:2" x14ac:dyDescent="0.2">
      <c r="B1041" s="7"/>
    </row>
    <row r="1042" spans="2:2" x14ac:dyDescent="0.2">
      <c r="B1042" s="7"/>
    </row>
    <row r="1043" spans="2:2" x14ac:dyDescent="0.2">
      <c r="B1043" s="7"/>
    </row>
    <row r="1044" spans="2:2" x14ac:dyDescent="0.2">
      <c r="B1044" s="7"/>
    </row>
    <row r="1045" spans="2:2" x14ac:dyDescent="0.2">
      <c r="B1045" s="7"/>
    </row>
    <row r="1046" spans="2:2" x14ac:dyDescent="0.2">
      <c r="B1046" s="7"/>
    </row>
    <row r="1047" spans="2:2" x14ac:dyDescent="0.2">
      <c r="B1047" s="7"/>
    </row>
    <row r="1048" spans="2:2" x14ac:dyDescent="0.2">
      <c r="B1048" s="7"/>
    </row>
    <row r="1049" spans="2:2" x14ac:dyDescent="0.2">
      <c r="B1049" s="7"/>
    </row>
    <row r="1050" spans="2:2" x14ac:dyDescent="0.2">
      <c r="B1050" s="7"/>
    </row>
    <row r="1051" spans="2:2" x14ac:dyDescent="0.2">
      <c r="B1051" s="7"/>
    </row>
    <row r="1052" spans="2:2" x14ac:dyDescent="0.2">
      <c r="B1052" s="7"/>
    </row>
    <row r="1053" spans="2:2" x14ac:dyDescent="0.2">
      <c r="B1053" s="7"/>
    </row>
    <row r="1054" spans="2:2" x14ac:dyDescent="0.2">
      <c r="B1054" s="7"/>
    </row>
    <row r="1055" spans="2:2" x14ac:dyDescent="0.2">
      <c r="B1055" s="7"/>
    </row>
    <row r="1056" spans="2:2" x14ac:dyDescent="0.2">
      <c r="B1056" s="7"/>
    </row>
    <row r="1057" spans="2:2" x14ac:dyDescent="0.2">
      <c r="B1057" s="7"/>
    </row>
    <row r="1058" spans="2:2" x14ac:dyDescent="0.2">
      <c r="B1058" s="7"/>
    </row>
    <row r="1059" spans="2:2" x14ac:dyDescent="0.2">
      <c r="B1059" s="7"/>
    </row>
    <row r="1060" spans="2:2" x14ac:dyDescent="0.2">
      <c r="B1060" s="7"/>
    </row>
    <row r="1061" spans="2:2" x14ac:dyDescent="0.2">
      <c r="B1061" s="7"/>
    </row>
    <row r="1062" spans="2:2" x14ac:dyDescent="0.2">
      <c r="B1062" s="7"/>
    </row>
    <row r="1063" spans="2:2" x14ac:dyDescent="0.2">
      <c r="B1063" s="7"/>
    </row>
    <row r="1064" spans="2:2" x14ac:dyDescent="0.2">
      <c r="B1064" s="7"/>
    </row>
    <row r="1065" spans="2:2" x14ac:dyDescent="0.2">
      <c r="B1065" s="7"/>
    </row>
    <row r="1066" spans="2:2" x14ac:dyDescent="0.2">
      <c r="B1066" s="7"/>
    </row>
    <row r="1067" spans="2:2" x14ac:dyDescent="0.2">
      <c r="B1067" s="7"/>
    </row>
    <row r="1068" spans="2:2" x14ac:dyDescent="0.2">
      <c r="B1068" s="7"/>
    </row>
    <row r="1069" spans="2:2" x14ac:dyDescent="0.2">
      <c r="B1069" s="7"/>
    </row>
    <row r="1070" spans="2:2" x14ac:dyDescent="0.2">
      <c r="B1070" s="7"/>
    </row>
    <row r="1071" spans="2:2" x14ac:dyDescent="0.2">
      <c r="B1071" s="7"/>
    </row>
    <row r="1072" spans="2:2" x14ac:dyDescent="0.2">
      <c r="B1072" s="7"/>
    </row>
    <row r="1073" spans="2:2" x14ac:dyDescent="0.2">
      <c r="B1073" s="7"/>
    </row>
    <row r="1074" spans="2:2" x14ac:dyDescent="0.2">
      <c r="B1074" s="7"/>
    </row>
    <row r="1075" spans="2:2" x14ac:dyDescent="0.2">
      <c r="B1075" s="7"/>
    </row>
    <row r="1076" spans="2:2" x14ac:dyDescent="0.2">
      <c r="B1076" s="7"/>
    </row>
    <row r="1077" spans="2:2" x14ac:dyDescent="0.2">
      <c r="B1077" s="7"/>
    </row>
    <row r="1078" spans="2:2" x14ac:dyDescent="0.2">
      <c r="B1078" s="7"/>
    </row>
    <row r="1079" spans="2:2" x14ac:dyDescent="0.2">
      <c r="B1079" s="7"/>
    </row>
    <row r="1080" spans="2:2" x14ac:dyDescent="0.2">
      <c r="B1080" s="7"/>
    </row>
    <row r="1081" spans="2:2" x14ac:dyDescent="0.2">
      <c r="B1081" s="7"/>
    </row>
    <row r="1082" spans="2:2" x14ac:dyDescent="0.2">
      <c r="B1082" s="7"/>
    </row>
    <row r="1083" spans="2:2" x14ac:dyDescent="0.2">
      <c r="B1083" s="7"/>
    </row>
    <row r="1084" spans="2:2" x14ac:dyDescent="0.2">
      <c r="B1084" s="7"/>
    </row>
    <row r="1085" spans="2:2" x14ac:dyDescent="0.2">
      <c r="B1085" s="7"/>
    </row>
    <row r="1086" spans="2:2" x14ac:dyDescent="0.2">
      <c r="B1086" s="7"/>
    </row>
    <row r="1087" spans="2:2" x14ac:dyDescent="0.2">
      <c r="B1087" s="7"/>
    </row>
    <row r="1088" spans="2:2" x14ac:dyDescent="0.2">
      <c r="B1088" s="7"/>
    </row>
    <row r="1089" spans="2:2" x14ac:dyDescent="0.2">
      <c r="B1089" s="7"/>
    </row>
    <row r="1090" spans="2:2" x14ac:dyDescent="0.2">
      <c r="B1090" s="7"/>
    </row>
    <row r="1091" spans="2:2" x14ac:dyDescent="0.2">
      <c r="B1091" s="7"/>
    </row>
    <row r="1092" spans="2:2" x14ac:dyDescent="0.2">
      <c r="B1092" s="7"/>
    </row>
    <row r="1093" spans="2:2" x14ac:dyDescent="0.2">
      <c r="B1093" s="7"/>
    </row>
    <row r="1094" spans="2:2" x14ac:dyDescent="0.2">
      <c r="B1094" s="7"/>
    </row>
    <row r="1095" spans="2:2" x14ac:dyDescent="0.2">
      <c r="B1095" s="7"/>
    </row>
    <row r="1096" spans="2:2" x14ac:dyDescent="0.2">
      <c r="B1096" s="7"/>
    </row>
    <row r="1097" spans="2:2" x14ac:dyDescent="0.2">
      <c r="B1097" s="7"/>
    </row>
    <row r="1098" spans="2:2" x14ac:dyDescent="0.2">
      <c r="B1098" s="7"/>
    </row>
    <row r="1099" spans="2:2" x14ac:dyDescent="0.2">
      <c r="B1099" s="7"/>
    </row>
    <row r="1100" spans="2:2" x14ac:dyDescent="0.2">
      <c r="B1100" s="7"/>
    </row>
    <row r="1101" spans="2:2" x14ac:dyDescent="0.2">
      <c r="B1101" s="7"/>
    </row>
    <row r="1102" spans="2:2" x14ac:dyDescent="0.2">
      <c r="B1102" s="7"/>
    </row>
    <row r="1103" spans="2:2" x14ac:dyDescent="0.2">
      <c r="B1103" s="7"/>
    </row>
    <row r="1104" spans="2:2" x14ac:dyDescent="0.2">
      <c r="B1104" s="7"/>
    </row>
    <row r="1105" spans="2:2" x14ac:dyDescent="0.2">
      <c r="B1105" s="7"/>
    </row>
    <row r="1106" spans="2:2" x14ac:dyDescent="0.2">
      <c r="B1106" s="7"/>
    </row>
    <row r="1107" spans="2:2" x14ac:dyDescent="0.2">
      <c r="B1107" s="7"/>
    </row>
    <row r="1108" spans="2:2" x14ac:dyDescent="0.2">
      <c r="B1108" s="7"/>
    </row>
    <row r="1109" spans="2:2" x14ac:dyDescent="0.2">
      <c r="B1109" s="7"/>
    </row>
    <row r="1110" spans="2:2" x14ac:dyDescent="0.2">
      <c r="B1110" s="7"/>
    </row>
    <row r="1111" spans="2:2" x14ac:dyDescent="0.2">
      <c r="B1111" s="7"/>
    </row>
    <row r="1112" spans="2:2" x14ac:dyDescent="0.2">
      <c r="B1112" s="7"/>
    </row>
    <row r="1113" spans="2:2" x14ac:dyDescent="0.2">
      <c r="B1113" s="7"/>
    </row>
    <row r="1114" spans="2:2" x14ac:dyDescent="0.2">
      <c r="B1114" s="7"/>
    </row>
    <row r="1115" spans="2:2" x14ac:dyDescent="0.2">
      <c r="B1115" s="7"/>
    </row>
    <row r="1116" spans="2:2" x14ac:dyDescent="0.2">
      <c r="B1116" s="7"/>
    </row>
    <row r="1117" spans="2:2" x14ac:dyDescent="0.2">
      <c r="B1117" s="7"/>
    </row>
    <row r="1118" spans="2:2" x14ac:dyDescent="0.2">
      <c r="B1118" s="7"/>
    </row>
    <row r="1119" spans="2:2" x14ac:dyDescent="0.2">
      <c r="B1119" s="7"/>
    </row>
    <row r="1120" spans="2:2" x14ac:dyDescent="0.2">
      <c r="B1120" s="7"/>
    </row>
    <row r="1121" spans="2:2" x14ac:dyDescent="0.2">
      <c r="B1121" s="7"/>
    </row>
    <row r="1122" spans="2:2" x14ac:dyDescent="0.2">
      <c r="B1122" s="7"/>
    </row>
    <row r="1123" spans="2:2" x14ac:dyDescent="0.2">
      <c r="B1123" s="7"/>
    </row>
    <row r="1124" spans="2:2" x14ac:dyDescent="0.2">
      <c r="B1124" s="7"/>
    </row>
    <row r="1125" spans="2:2" x14ac:dyDescent="0.2">
      <c r="B1125" s="7"/>
    </row>
    <row r="1126" spans="2:2" x14ac:dyDescent="0.2">
      <c r="B1126" s="7"/>
    </row>
    <row r="1127" spans="2:2" x14ac:dyDescent="0.2">
      <c r="B1127" s="7"/>
    </row>
    <row r="1128" spans="2:2" x14ac:dyDescent="0.2">
      <c r="B1128" s="7"/>
    </row>
    <row r="1129" spans="2:2" x14ac:dyDescent="0.2">
      <c r="B1129" s="7"/>
    </row>
    <row r="1130" spans="2:2" x14ac:dyDescent="0.2">
      <c r="B1130" s="7"/>
    </row>
    <row r="1131" spans="2:2" x14ac:dyDescent="0.2">
      <c r="B1131" s="7"/>
    </row>
    <row r="1132" spans="2:2" x14ac:dyDescent="0.2">
      <c r="B1132" s="7"/>
    </row>
    <row r="1133" spans="2:2" x14ac:dyDescent="0.2">
      <c r="B1133" s="7"/>
    </row>
    <row r="1134" spans="2:2" x14ac:dyDescent="0.2">
      <c r="B1134" s="7"/>
    </row>
    <row r="1135" spans="2:2" x14ac:dyDescent="0.2">
      <c r="B1135" s="7"/>
    </row>
    <row r="1136" spans="2:2" x14ac:dyDescent="0.2">
      <c r="B1136" s="7"/>
    </row>
    <row r="1137" spans="2:2" x14ac:dyDescent="0.2">
      <c r="B1137" s="7"/>
    </row>
    <row r="1138" spans="2:2" x14ac:dyDescent="0.2">
      <c r="B1138" s="7"/>
    </row>
    <row r="1139" spans="2:2" x14ac:dyDescent="0.2">
      <c r="B1139" s="7"/>
    </row>
    <row r="1140" spans="2:2" x14ac:dyDescent="0.2">
      <c r="B1140" s="7"/>
    </row>
    <row r="1141" spans="2:2" x14ac:dyDescent="0.2">
      <c r="B1141" s="7"/>
    </row>
    <row r="1142" spans="2:2" x14ac:dyDescent="0.2">
      <c r="B1142" s="7"/>
    </row>
    <row r="1143" spans="2:2" x14ac:dyDescent="0.2">
      <c r="B1143" s="7"/>
    </row>
    <row r="1144" spans="2:2" x14ac:dyDescent="0.2">
      <c r="B1144" s="7"/>
    </row>
    <row r="1145" spans="2:2" x14ac:dyDescent="0.2">
      <c r="B1145" s="7"/>
    </row>
    <row r="1146" spans="2:2" x14ac:dyDescent="0.2">
      <c r="B1146" s="7"/>
    </row>
    <row r="1147" spans="2:2" x14ac:dyDescent="0.2">
      <c r="B1147" s="7"/>
    </row>
    <row r="1148" spans="2:2" x14ac:dyDescent="0.2">
      <c r="B1148" s="7"/>
    </row>
    <row r="1149" spans="2:2" x14ac:dyDescent="0.2">
      <c r="B1149" s="7"/>
    </row>
    <row r="1150" spans="2:2" x14ac:dyDescent="0.2">
      <c r="B1150" s="7"/>
    </row>
    <row r="1151" spans="2:2" x14ac:dyDescent="0.2">
      <c r="B1151" s="7"/>
    </row>
    <row r="1152" spans="2:2" x14ac:dyDescent="0.2">
      <c r="B1152" s="7"/>
    </row>
    <row r="1153" spans="2:2" x14ac:dyDescent="0.2">
      <c r="B1153" s="7"/>
    </row>
    <row r="1154" spans="2:2" x14ac:dyDescent="0.2">
      <c r="B1154" s="7"/>
    </row>
    <row r="1155" spans="2:2" x14ac:dyDescent="0.2">
      <c r="B1155" s="7"/>
    </row>
    <row r="1156" spans="2:2" x14ac:dyDescent="0.2">
      <c r="B1156" s="7"/>
    </row>
    <row r="1157" spans="2:2" x14ac:dyDescent="0.2">
      <c r="B1157" s="7"/>
    </row>
    <row r="1158" spans="2:2" x14ac:dyDescent="0.2">
      <c r="B1158" s="7"/>
    </row>
    <row r="1159" spans="2:2" x14ac:dyDescent="0.2">
      <c r="B1159" s="7"/>
    </row>
    <row r="1160" spans="2:2" x14ac:dyDescent="0.2">
      <c r="B1160" s="7"/>
    </row>
    <row r="1161" spans="2:2" x14ac:dyDescent="0.2">
      <c r="B1161" s="7"/>
    </row>
    <row r="1162" spans="2:2" x14ac:dyDescent="0.2">
      <c r="B1162" s="7"/>
    </row>
    <row r="1163" spans="2:2" x14ac:dyDescent="0.2">
      <c r="B1163" s="7"/>
    </row>
    <row r="1164" spans="2:2" x14ac:dyDescent="0.2">
      <c r="B1164" s="7"/>
    </row>
    <row r="1165" spans="2:2" x14ac:dyDescent="0.2">
      <c r="B1165" s="7"/>
    </row>
    <row r="1166" spans="2:2" x14ac:dyDescent="0.2">
      <c r="B1166" s="7"/>
    </row>
    <row r="1167" spans="2:2" x14ac:dyDescent="0.2">
      <c r="B1167" s="7"/>
    </row>
    <row r="1168" spans="2:2" x14ac:dyDescent="0.2">
      <c r="B1168" s="7"/>
    </row>
    <row r="1169" spans="2:2" x14ac:dyDescent="0.2">
      <c r="B1169" s="7"/>
    </row>
    <row r="1170" spans="2:2" x14ac:dyDescent="0.2">
      <c r="B1170" s="7"/>
    </row>
    <row r="1171" spans="2:2" x14ac:dyDescent="0.2">
      <c r="B1171" s="7"/>
    </row>
    <row r="1172" spans="2:2" x14ac:dyDescent="0.2">
      <c r="B1172" s="7"/>
    </row>
    <row r="1173" spans="2:2" x14ac:dyDescent="0.2">
      <c r="B1173" s="7"/>
    </row>
    <row r="1174" spans="2:2" x14ac:dyDescent="0.2">
      <c r="B1174" s="7"/>
    </row>
    <row r="1175" spans="2:2" x14ac:dyDescent="0.2">
      <c r="B1175" s="7"/>
    </row>
    <row r="1176" spans="2:2" x14ac:dyDescent="0.2">
      <c r="B1176" s="7"/>
    </row>
    <row r="1177" spans="2:2" x14ac:dyDescent="0.2">
      <c r="B1177" s="7"/>
    </row>
    <row r="1178" spans="2:2" x14ac:dyDescent="0.2">
      <c r="B1178" s="7"/>
    </row>
    <row r="1179" spans="2:2" x14ac:dyDescent="0.2">
      <c r="B1179" s="7"/>
    </row>
    <row r="1180" spans="2:2" x14ac:dyDescent="0.2">
      <c r="B1180" s="7"/>
    </row>
    <row r="1181" spans="2:2" x14ac:dyDescent="0.2">
      <c r="B1181" s="7"/>
    </row>
    <row r="1182" spans="2:2" x14ac:dyDescent="0.2">
      <c r="B1182" s="7"/>
    </row>
    <row r="1183" spans="2:2" x14ac:dyDescent="0.2">
      <c r="B1183" s="7"/>
    </row>
    <row r="1184" spans="2:2" x14ac:dyDescent="0.2">
      <c r="B1184" s="7"/>
    </row>
    <row r="1185" spans="2:2" x14ac:dyDescent="0.2">
      <c r="B1185" s="7"/>
    </row>
    <row r="1186" spans="2:2" x14ac:dyDescent="0.2">
      <c r="B1186" s="7"/>
    </row>
    <row r="1187" spans="2:2" x14ac:dyDescent="0.2">
      <c r="B1187" s="7"/>
    </row>
    <row r="1188" spans="2:2" x14ac:dyDescent="0.2">
      <c r="B1188" s="7"/>
    </row>
    <row r="1189" spans="2:2" x14ac:dyDescent="0.2">
      <c r="B1189" s="7"/>
    </row>
    <row r="1190" spans="2:2" x14ac:dyDescent="0.2">
      <c r="B1190" s="7"/>
    </row>
    <row r="1191" spans="2:2" x14ac:dyDescent="0.2">
      <c r="B1191" s="7"/>
    </row>
    <row r="1192" spans="2:2" x14ac:dyDescent="0.2">
      <c r="B1192" s="7"/>
    </row>
    <row r="1193" spans="2:2" x14ac:dyDescent="0.2">
      <c r="B1193" s="7"/>
    </row>
    <row r="1194" spans="2:2" x14ac:dyDescent="0.2">
      <c r="B1194" s="7"/>
    </row>
    <row r="1195" spans="2:2" x14ac:dyDescent="0.2">
      <c r="B1195" s="7"/>
    </row>
    <row r="1196" spans="2:2" x14ac:dyDescent="0.2">
      <c r="B1196" s="7"/>
    </row>
    <row r="1197" spans="2:2" x14ac:dyDescent="0.2">
      <c r="B1197" s="7"/>
    </row>
    <row r="1198" spans="2:2" x14ac:dyDescent="0.2">
      <c r="B1198" s="7"/>
    </row>
    <row r="1199" spans="2:2" x14ac:dyDescent="0.2">
      <c r="B1199" s="7"/>
    </row>
    <row r="1200" spans="2:2" x14ac:dyDescent="0.2">
      <c r="B1200" s="7"/>
    </row>
    <row r="1201" spans="2:2" x14ac:dyDescent="0.2">
      <c r="B1201" s="7"/>
    </row>
    <row r="1202" spans="2:2" x14ac:dyDescent="0.2">
      <c r="B1202" s="7"/>
    </row>
    <row r="1203" spans="2:2" x14ac:dyDescent="0.2">
      <c r="B1203" s="7"/>
    </row>
    <row r="1204" spans="2:2" x14ac:dyDescent="0.2">
      <c r="B1204" s="7"/>
    </row>
    <row r="1205" spans="2:2" x14ac:dyDescent="0.2">
      <c r="B1205" s="7"/>
    </row>
    <row r="1206" spans="2:2" x14ac:dyDescent="0.2">
      <c r="B1206" s="7"/>
    </row>
    <row r="1207" spans="2:2" x14ac:dyDescent="0.2">
      <c r="B1207" s="7"/>
    </row>
    <row r="1208" spans="2:2" x14ac:dyDescent="0.2">
      <c r="B1208" s="7"/>
    </row>
    <row r="1209" spans="2:2" x14ac:dyDescent="0.2">
      <c r="B1209" s="7"/>
    </row>
    <row r="1210" spans="2:2" x14ac:dyDescent="0.2">
      <c r="B1210" s="7"/>
    </row>
    <row r="1211" spans="2:2" x14ac:dyDescent="0.2">
      <c r="B1211" s="7"/>
    </row>
    <row r="1212" spans="2:2" x14ac:dyDescent="0.2">
      <c r="B1212" s="7"/>
    </row>
    <row r="1213" spans="2:2" x14ac:dyDescent="0.2">
      <c r="B1213" s="7"/>
    </row>
    <row r="1214" spans="2:2" x14ac:dyDescent="0.2">
      <c r="B1214" s="7"/>
    </row>
    <row r="1215" spans="2:2" x14ac:dyDescent="0.2">
      <c r="B1215" s="7"/>
    </row>
    <row r="1216" spans="2:2" x14ac:dyDescent="0.2">
      <c r="B1216" s="7"/>
    </row>
    <row r="1217" spans="2:2" x14ac:dyDescent="0.2">
      <c r="B1217" s="7"/>
    </row>
    <row r="1218" spans="2:2" x14ac:dyDescent="0.2">
      <c r="B1218" s="7"/>
    </row>
    <row r="1219" spans="2:2" x14ac:dyDescent="0.2">
      <c r="B1219" s="7"/>
    </row>
    <row r="1220" spans="2:2" x14ac:dyDescent="0.2">
      <c r="B1220" s="7"/>
    </row>
    <row r="1221" spans="2:2" x14ac:dyDescent="0.2">
      <c r="B1221" s="7"/>
    </row>
    <row r="1222" spans="2:2" x14ac:dyDescent="0.2">
      <c r="B1222" s="7"/>
    </row>
    <row r="1223" spans="2:2" x14ac:dyDescent="0.2">
      <c r="B1223" s="7"/>
    </row>
    <row r="1224" spans="2:2" x14ac:dyDescent="0.2">
      <c r="B1224" s="7"/>
    </row>
    <row r="1225" spans="2:2" x14ac:dyDescent="0.2">
      <c r="B1225" s="7"/>
    </row>
    <row r="1226" spans="2:2" x14ac:dyDescent="0.2">
      <c r="B1226" s="7"/>
    </row>
    <row r="1227" spans="2:2" x14ac:dyDescent="0.2">
      <c r="B1227" s="7"/>
    </row>
    <row r="1228" spans="2:2" x14ac:dyDescent="0.2">
      <c r="B1228" s="7"/>
    </row>
    <row r="1229" spans="2:2" x14ac:dyDescent="0.2">
      <c r="B1229" s="7"/>
    </row>
    <row r="1230" spans="2:2" x14ac:dyDescent="0.2">
      <c r="B1230" s="7"/>
    </row>
    <row r="1231" spans="2:2" x14ac:dyDescent="0.2">
      <c r="B1231" s="7"/>
    </row>
    <row r="1232" spans="2:2" x14ac:dyDescent="0.2">
      <c r="B1232" s="7"/>
    </row>
    <row r="1233" spans="2:2" x14ac:dyDescent="0.2">
      <c r="B1233" s="7"/>
    </row>
    <row r="1234" spans="2:2" x14ac:dyDescent="0.2">
      <c r="B1234" s="7"/>
    </row>
    <row r="1235" spans="2:2" x14ac:dyDescent="0.2">
      <c r="B1235" s="7"/>
    </row>
    <row r="1236" spans="2:2" x14ac:dyDescent="0.2">
      <c r="B1236" s="7"/>
    </row>
    <row r="1237" spans="2:2" x14ac:dyDescent="0.2">
      <c r="B1237" s="7"/>
    </row>
    <row r="1238" spans="2:2" x14ac:dyDescent="0.2">
      <c r="B1238" s="7"/>
    </row>
    <row r="1239" spans="2:2" x14ac:dyDescent="0.2">
      <c r="B1239" s="7"/>
    </row>
    <row r="1240" spans="2:2" x14ac:dyDescent="0.2">
      <c r="B1240" s="7"/>
    </row>
    <row r="1241" spans="2:2" x14ac:dyDescent="0.2">
      <c r="B1241" s="7"/>
    </row>
    <row r="1242" spans="2:2" x14ac:dyDescent="0.2">
      <c r="B1242" s="7"/>
    </row>
    <row r="1243" spans="2:2" x14ac:dyDescent="0.2">
      <c r="B1243" s="7"/>
    </row>
    <row r="1244" spans="2:2" x14ac:dyDescent="0.2">
      <c r="B1244" s="7"/>
    </row>
    <row r="1245" spans="2:2" x14ac:dyDescent="0.2">
      <c r="B1245" s="7"/>
    </row>
    <row r="1246" spans="2:2" x14ac:dyDescent="0.2">
      <c r="B1246" s="7"/>
    </row>
    <row r="1247" spans="2:2" x14ac:dyDescent="0.2">
      <c r="B1247" s="7"/>
    </row>
    <row r="1248" spans="2:2" x14ac:dyDescent="0.2">
      <c r="B1248" s="7"/>
    </row>
    <row r="1249" spans="2:2" x14ac:dyDescent="0.2">
      <c r="B1249" s="7"/>
    </row>
    <row r="1250" spans="2:2" x14ac:dyDescent="0.2">
      <c r="B1250" s="7"/>
    </row>
    <row r="1251" spans="2:2" x14ac:dyDescent="0.2">
      <c r="B1251" s="7"/>
    </row>
    <row r="1252" spans="2:2" x14ac:dyDescent="0.2">
      <c r="B1252" s="7"/>
    </row>
    <row r="1253" spans="2:2" x14ac:dyDescent="0.2">
      <c r="B1253" s="7"/>
    </row>
    <row r="1254" spans="2:2" x14ac:dyDescent="0.2">
      <c r="B1254" s="7"/>
    </row>
    <row r="1255" spans="2:2" x14ac:dyDescent="0.2">
      <c r="B1255" s="7"/>
    </row>
    <row r="1256" spans="2:2" x14ac:dyDescent="0.2">
      <c r="B1256" s="7"/>
    </row>
    <row r="1257" spans="2:2" x14ac:dyDescent="0.2">
      <c r="B1257" s="7"/>
    </row>
    <row r="1258" spans="2:2" x14ac:dyDescent="0.2">
      <c r="B1258" s="7"/>
    </row>
    <row r="1259" spans="2:2" x14ac:dyDescent="0.2">
      <c r="B1259" s="7"/>
    </row>
    <row r="1260" spans="2:2" x14ac:dyDescent="0.2">
      <c r="B1260" s="7"/>
    </row>
    <row r="1261" spans="2:2" x14ac:dyDescent="0.2">
      <c r="B1261" s="7"/>
    </row>
    <row r="1262" spans="2:2" x14ac:dyDescent="0.2">
      <c r="B1262" s="7"/>
    </row>
    <row r="1263" spans="2:2" x14ac:dyDescent="0.2">
      <c r="B1263" s="7"/>
    </row>
    <row r="1264" spans="2:2" x14ac:dyDescent="0.2">
      <c r="B1264" s="7"/>
    </row>
    <row r="1265" spans="2:2" x14ac:dyDescent="0.2">
      <c r="B1265" s="7"/>
    </row>
    <row r="1266" spans="2:2" x14ac:dyDescent="0.2">
      <c r="B1266" s="7"/>
    </row>
    <row r="1267" spans="2:2" x14ac:dyDescent="0.2">
      <c r="B1267" s="7"/>
    </row>
    <row r="1268" spans="2:2" x14ac:dyDescent="0.2">
      <c r="B1268" s="7"/>
    </row>
    <row r="1269" spans="2:2" x14ac:dyDescent="0.2">
      <c r="B1269" s="7"/>
    </row>
    <row r="1270" spans="2:2" x14ac:dyDescent="0.2">
      <c r="B1270" s="7"/>
    </row>
    <row r="1271" spans="2:2" x14ac:dyDescent="0.2">
      <c r="B1271" s="7"/>
    </row>
    <row r="1272" spans="2:2" x14ac:dyDescent="0.2">
      <c r="B1272" s="7"/>
    </row>
    <row r="1273" spans="2:2" x14ac:dyDescent="0.2">
      <c r="B1273" s="7"/>
    </row>
    <row r="1274" spans="2:2" x14ac:dyDescent="0.2">
      <c r="B1274" s="7"/>
    </row>
    <row r="1275" spans="2:2" x14ac:dyDescent="0.2">
      <c r="B1275" s="7"/>
    </row>
    <row r="1276" spans="2:2" x14ac:dyDescent="0.2">
      <c r="B1276" s="7"/>
    </row>
    <row r="1277" spans="2:2" x14ac:dyDescent="0.2">
      <c r="B1277" s="7"/>
    </row>
    <row r="1278" spans="2:2" x14ac:dyDescent="0.2">
      <c r="B1278" s="7"/>
    </row>
    <row r="1279" spans="2:2" x14ac:dyDescent="0.2">
      <c r="B1279" s="7"/>
    </row>
    <row r="1280" spans="2:2" x14ac:dyDescent="0.2">
      <c r="B1280" s="7"/>
    </row>
    <row r="1281" spans="2:2" x14ac:dyDescent="0.2">
      <c r="B1281" s="7"/>
    </row>
    <row r="1282" spans="2:2" x14ac:dyDescent="0.2">
      <c r="B1282" s="7"/>
    </row>
    <row r="1283" spans="2:2" x14ac:dyDescent="0.2">
      <c r="B1283" s="7"/>
    </row>
    <row r="1284" spans="2:2" x14ac:dyDescent="0.2">
      <c r="B1284" s="7"/>
    </row>
    <row r="1285" spans="2:2" x14ac:dyDescent="0.2">
      <c r="B1285" s="7"/>
    </row>
    <row r="1286" spans="2:2" x14ac:dyDescent="0.2">
      <c r="B1286" s="7"/>
    </row>
    <row r="1287" spans="2:2" x14ac:dyDescent="0.2">
      <c r="B1287" s="7"/>
    </row>
    <row r="1288" spans="2:2" x14ac:dyDescent="0.2">
      <c r="B1288" s="7"/>
    </row>
    <row r="1289" spans="2:2" x14ac:dyDescent="0.2">
      <c r="B1289" s="7"/>
    </row>
    <row r="1290" spans="2:2" x14ac:dyDescent="0.2">
      <c r="B1290" s="7"/>
    </row>
    <row r="1291" spans="2:2" x14ac:dyDescent="0.2">
      <c r="B1291" s="7"/>
    </row>
    <row r="1292" spans="2:2" x14ac:dyDescent="0.2">
      <c r="B1292" s="7"/>
    </row>
    <row r="1293" spans="2:2" x14ac:dyDescent="0.2">
      <c r="B1293" s="7"/>
    </row>
    <row r="1294" spans="2:2" x14ac:dyDescent="0.2">
      <c r="B1294" s="7"/>
    </row>
    <row r="1295" spans="2:2" x14ac:dyDescent="0.2">
      <c r="B1295" s="7"/>
    </row>
    <row r="1296" spans="2:2" x14ac:dyDescent="0.2">
      <c r="B1296" s="7"/>
    </row>
    <row r="1297" spans="2:2" x14ac:dyDescent="0.2">
      <c r="B1297" s="7"/>
    </row>
    <row r="1298" spans="2:2" x14ac:dyDescent="0.2">
      <c r="B1298" s="7"/>
    </row>
    <row r="1299" spans="2:2" x14ac:dyDescent="0.2">
      <c r="B1299" s="7"/>
    </row>
    <row r="1300" spans="2:2" x14ac:dyDescent="0.2">
      <c r="B1300" s="7"/>
    </row>
    <row r="1301" spans="2:2" x14ac:dyDescent="0.2">
      <c r="B1301" s="7"/>
    </row>
    <row r="1302" spans="2:2" x14ac:dyDescent="0.2">
      <c r="B1302" s="7"/>
    </row>
    <row r="1303" spans="2:2" x14ac:dyDescent="0.2">
      <c r="B1303" s="7"/>
    </row>
    <row r="1304" spans="2:2" x14ac:dyDescent="0.2">
      <c r="B1304" s="7"/>
    </row>
    <row r="1305" spans="2:2" x14ac:dyDescent="0.2">
      <c r="B1305" s="7"/>
    </row>
    <row r="1306" spans="2:2" x14ac:dyDescent="0.2">
      <c r="B1306" s="7"/>
    </row>
    <row r="1307" spans="2:2" x14ac:dyDescent="0.2">
      <c r="B1307" s="7"/>
    </row>
    <row r="1308" spans="2:2" x14ac:dyDescent="0.2">
      <c r="B1308" s="7"/>
    </row>
    <row r="1309" spans="2:2" x14ac:dyDescent="0.2">
      <c r="B1309" s="7"/>
    </row>
    <row r="1310" spans="2:2" x14ac:dyDescent="0.2">
      <c r="B1310" s="7"/>
    </row>
    <row r="1311" spans="2:2" x14ac:dyDescent="0.2">
      <c r="B1311" s="7"/>
    </row>
    <row r="1312" spans="2:2" x14ac:dyDescent="0.2">
      <c r="B1312" s="7"/>
    </row>
    <row r="1313" spans="2:2" x14ac:dyDescent="0.2">
      <c r="B1313" s="7"/>
    </row>
    <row r="1314" spans="2:2" x14ac:dyDescent="0.2">
      <c r="B1314" s="7"/>
    </row>
    <row r="1315" spans="2:2" x14ac:dyDescent="0.2">
      <c r="B1315" s="7"/>
    </row>
    <row r="1316" spans="2:2" x14ac:dyDescent="0.2">
      <c r="B1316" s="7"/>
    </row>
    <row r="1317" spans="2:2" x14ac:dyDescent="0.2">
      <c r="B1317" s="7"/>
    </row>
    <row r="1318" spans="2:2" x14ac:dyDescent="0.2">
      <c r="B1318" s="7"/>
    </row>
    <row r="1319" spans="2:2" x14ac:dyDescent="0.2">
      <c r="B1319" s="7"/>
    </row>
    <row r="1320" spans="2:2" x14ac:dyDescent="0.2">
      <c r="B1320" s="7"/>
    </row>
    <row r="1321" spans="2:2" x14ac:dyDescent="0.2">
      <c r="B1321" s="7"/>
    </row>
    <row r="1322" spans="2:2" x14ac:dyDescent="0.2">
      <c r="B1322" s="7"/>
    </row>
    <row r="1323" spans="2:2" x14ac:dyDescent="0.2">
      <c r="B1323" s="7"/>
    </row>
    <row r="1324" spans="2:2" x14ac:dyDescent="0.2">
      <c r="B1324" s="7"/>
    </row>
    <row r="1325" spans="2:2" x14ac:dyDescent="0.2">
      <c r="B1325" s="7"/>
    </row>
    <row r="1326" spans="2:2" x14ac:dyDescent="0.2">
      <c r="B1326" s="7"/>
    </row>
    <row r="1327" spans="2:2" x14ac:dyDescent="0.2">
      <c r="B1327" s="7"/>
    </row>
    <row r="1328" spans="2:2" x14ac:dyDescent="0.2">
      <c r="B1328" s="7"/>
    </row>
    <row r="1329" spans="2:2" x14ac:dyDescent="0.2">
      <c r="B1329" s="7"/>
    </row>
    <row r="1330" spans="2:2" x14ac:dyDescent="0.2">
      <c r="B1330" s="7"/>
    </row>
    <row r="1331" spans="2:2" x14ac:dyDescent="0.2">
      <c r="B1331" s="7"/>
    </row>
    <row r="1332" spans="2:2" x14ac:dyDescent="0.2">
      <c r="B1332" s="7"/>
    </row>
    <row r="1333" spans="2:2" x14ac:dyDescent="0.2">
      <c r="B1333" s="7"/>
    </row>
    <row r="1334" spans="2:2" x14ac:dyDescent="0.2">
      <c r="B1334" s="7"/>
    </row>
    <row r="1335" spans="2:2" x14ac:dyDescent="0.2">
      <c r="B1335" s="7"/>
    </row>
    <row r="1336" spans="2:2" x14ac:dyDescent="0.2">
      <c r="B1336" s="7"/>
    </row>
    <row r="1337" spans="2:2" x14ac:dyDescent="0.2">
      <c r="B1337" s="7"/>
    </row>
    <row r="1338" spans="2:2" x14ac:dyDescent="0.2">
      <c r="B1338" s="7"/>
    </row>
    <row r="1339" spans="2:2" x14ac:dyDescent="0.2">
      <c r="B1339" s="7"/>
    </row>
    <row r="1340" spans="2:2" x14ac:dyDescent="0.2">
      <c r="B1340" s="7"/>
    </row>
    <row r="1341" spans="2:2" x14ac:dyDescent="0.2">
      <c r="B1341" s="7"/>
    </row>
    <row r="1342" spans="2:2" x14ac:dyDescent="0.2">
      <c r="B1342" s="7"/>
    </row>
    <row r="1343" spans="2:2" x14ac:dyDescent="0.2">
      <c r="B1343" s="7"/>
    </row>
    <row r="1344" spans="2:2" x14ac:dyDescent="0.2">
      <c r="B1344" s="7"/>
    </row>
    <row r="1345" spans="2:2" x14ac:dyDescent="0.2">
      <c r="B1345" s="7"/>
    </row>
    <row r="1346" spans="2:2" x14ac:dyDescent="0.2">
      <c r="B1346" s="7"/>
    </row>
    <row r="1347" spans="2:2" x14ac:dyDescent="0.2">
      <c r="B1347" s="7"/>
    </row>
    <row r="1348" spans="2:2" x14ac:dyDescent="0.2">
      <c r="B1348" s="7"/>
    </row>
    <row r="1349" spans="2:2" x14ac:dyDescent="0.2">
      <c r="B1349" s="7"/>
    </row>
    <row r="1350" spans="2:2" x14ac:dyDescent="0.2">
      <c r="B1350" s="7"/>
    </row>
    <row r="1351" spans="2:2" x14ac:dyDescent="0.2">
      <c r="B1351" s="7"/>
    </row>
    <row r="1352" spans="2:2" x14ac:dyDescent="0.2">
      <c r="B1352" s="7"/>
    </row>
    <row r="1353" spans="2:2" x14ac:dyDescent="0.2">
      <c r="B1353" s="7"/>
    </row>
    <row r="1354" spans="2:2" x14ac:dyDescent="0.2">
      <c r="B1354" s="7"/>
    </row>
    <row r="1355" spans="2:2" x14ac:dyDescent="0.2">
      <c r="B1355" s="7"/>
    </row>
    <row r="1356" spans="2:2" x14ac:dyDescent="0.2">
      <c r="B1356" s="7"/>
    </row>
    <row r="1357" spans="2:2" x14ac:dyDescent="0.2">
      <c r="B1357" s="7"/>
    </row>
    <row r="1358" spans="2:2" x14ac:dyDescent="0.2">
      <c r="B1358" s="7"/>
    </row>
    <row r="1359" spans="2:2" x14ac:dyDescent="0.2">
      <c r="B1359" s="7"/>
    </row>
    <row r="1360" spans="2:2" x14ac:dyDescent="0.2">
      <c r="B1360" s="7"/>
    </row>
    <row r="1361" spans="2:2" x14ac:dyDescent="0.2">
      <c r="B1361" s="7"/>
    </row>
    <row r="1362" spans="2:2" x14ac:dyDescent="0.2">
      <c r="B1362" s="7"/>
    </row>
    <row r="1363" spans="2:2" x14ac:dyDescent="0.2">
      <c r="B1363" s="7"/>
    </row>
    <row r="1364" spans="2:2" x14ac:dyDescent="0.2">
      <c r="B1364" s="7"/>
    </row>
    <row r="1365" spans="2:2" x14ac:dyDescent="0.2">
      <c r="B1365" s="7"/>
    </row>
    <row r="1366" spans="2:2" x14ac:dyDescent="0.2">
      <c r="B1366" s="7"/>
    </row>
    <row r="1367" spans="2:2" x14ac:dyDescent="0.2">
      <c r="B1367" s="7"/>
    </row>
    <row r="1368" spans="2:2" x14ac:dyDescent="0.2">
      <c r="B1368" s="7"/>
    </row>
    <row r="1369" spans="2:2" x14ac:dyDescent="0.2">
      <c r="B1369" s="7"/>
    </row>
    <row r="1370" spans="2:2" x14ac:dyDescent="0.2">
      <c r="B1370" s="7"/>
    </row>
    <row r="1371" spans="2:2" x14ac:dyDescent="0.2">
      <c r="B1371" s="7"/>
    </row>
    <row r="1372" spans="2:2" x14ac:dyDescent="0.2">
      <c r="B1372" s="7"/>
    </row>
    <row r="1373" spans="2:2" x14ac:dyDescent="0.2">
      <c r="B1373" s="7"/>
    </row>
    <row r="1374" spans="2:2" x14ac:dyDescent="0.2">
      <c r="B1374" s="7"/>
    </row>
    <row r="1375" spans="2:2" x14ac:dyDescent="0.2">
      <c r="B1375" s="7"/>
    </row>
    <row r="1376" spans="2:2" x14ac:dyDescent="0.2">
      <c r="B1376" s="7"/>
    </row>
    <row r="1377" spans="2:2" x14ac:dyDescent="0.2">
      <c r="B1377" s="7"/>
    </row>
    <row r="1378" spans="2:2" x14ac:dyDescent="0.2">
      <c r="B1378" s="7"/>
    </row>
    <row r="1379" spans="2:2" x14ac:dyDescent="0.2">
      <c r="B1379" s="7"/>
    </row>
    <row r="1380" spans="2:2" x14ac:dyDescent="0.2">
      <c r="B1380" s="7"/>
    </row>
    <row r="1381" spans="2:2" x14ac:dyDescent="0.2">
      <c r="B1381" s="7"/>
    </row>
    <row r="1382" spans="2:2" x14ac:dyDescent="0.2">
      <c r="B1382" s="7"/>
    </row>
    <row r="1383" spans="2:2" x14ac:dyDescent="0.2">
      <c r="B1383" s="7"/>
    </row>
    <row r="1384" spans="2:2" x14ac:dyDescent="0.2">
      <c r="B1384" s="7"/>
    </row>
    <row r="1385" spans="2:2" x14ac:dyDescent="0.2">
      <c r="B1385" s="7"/>
    </row>
    <row r="1386" spans="2:2" x14ac:dyDescent="0.2">
      <c r="B1386" s="7"/>
    </row>
    <row r="1387" spans="2:2" x14ac:dyDescent="0.2">
      <c r="B1387" s="7"/>
    </row>
    <row r="1388" spans="2:2" x14ac:dyDescent="0.2">
      <c r="B1388" s="7"/>
    </row>
    <row r="1389" spans="2:2" x14ac:dyDescent="0.2">
      <c r="B1389" s="7"/>
    </row>
    <row r="1390" spans="2:2" x14ac:dyDescent="0.2">
      <c r="B1390" s="7"/>
    </row>
    <row r="1391" spans="2:2" x14ac:dyDescent="0.2">
      <c r="B139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2"/>
  <sheetViews>
    <sheetView topLeftCell="A24" zoomScale="107" zoomScaleNormal="107" workbookViewId="0">
      <pane xSplit="1" topLeftCell="D1" activePane="topRight" state="frozen"/>
      <selection pane="topRight" activeCell="X47" sqref="X47"/>
    </sheetView>
  </sheetViews>
  <sheetFormatPr defaultRowHeight="12.75" x14ac:dyDescent="0.2"/>
  <cols>
    <col min="1" max="1" width="15.7109375" customWidth="1"/>
    <col min="2" max="2" width="10" customWidth="1"/>
    <col min="3" max="3" width="10.7109375" customWidth="1"/>
    <col min="4" max="4" width="13.140625" customWidth="1"/>
    <col min="5" max="5" width="17.5703125" bestFit="1" customWidth="1"/>
    <col min="6" max="6" width="9.5703125" hidden="1" customWidth="1"/>
    <col min="7" max="7" width="11.7109375" hidden="1" customWidth="1"/>
    <col min="8" max="8" width="10.7109375" hidden="1" customWidth="1"/>
    <col min="9" max="12" width="12" hidden="1" customWidth="1"/>
    <col min="13" max="24" width="12" customWidth="1"/>
  </cols>
  <sheetData>
    <row r="1" spans="1:5" x14ac:dyDescent="0.2">
      <c r="A1" s="4" t="s">
        <v>34</v>
      </c>
    </row>
    <row r="2" spans="1:5" x14ac:dyDescent="0.2">
      <c r="A2" s="13" t="s">
        <v>35</v>
      </c>
    </row>
    <row r="4" spans="1:5" x14ac:dyDescent="0.2">
      <c r="A4" s="4" t="s">
        <v>3</v>
      </c>
    </row>
    <row r="5" spans="1:5" x14ac:dyDescent="0.2">
      <c r="A5" s="4"/>
    </row>
    <row r="6" spans="1:5" x14ac:dyDescent="0.2">
      <c r="A6" t="s">
        <v>45</v>
      </c>
      <c r="B6" s="12" t="s">
        <v>67</v>
      </c>
    </row>
    <row r="7" spans="1:5" x14ac:dyDescent="0.2">
      <c r="A7" s="14" t="s">
        <v>30</v>
      </c>
      <c r="B7" t="s">
        <v>26</v>
      </c>
    </row>
    <row r="8" spans="1:5" x14ac:dyDescent="0.2">
      <c r="A8" s="14" t="s">
        <v>24</v>
      </c>
      <c r="B8" t="s">
        <v>27</v>
      </c>
    </row>
    <row r="9" spans="1:5" x14ac:dyDescent="0.2">
      <c r="A9" s="14" t="s">
        <v>25</v>
      </c>
      <c r="B9" t="s">
        <v>47</v>
      </c>
      <c r="E9" s="14"/>
    </row>
    <row r="10" spans="1:5" x14ac:dyDescent="0.2">
      <c r="A10" s="14" t="s">
        <v>48</v>
      </c>
      <c r="B10" t="s">
        <v>46</v>
      </c>
      <c r="E10" s="15"/>
    </row>
    <row r="11" spans="1:5" x14ac:dyDescent="0.2">
      <c r="A11" s="14" t="s">
        <v>49</v>
      </c>
      <c r="B11" t="s">
        <v>52</v>
      </c>
      <c r="E11" s="15"/>
    </row>
    <row r="12" spans="1:5" x14ac:dyDescent="0.2">
      <c r="A12" s="14" t="s">
        <v>51</v>
      </c>
      <c r="B12" s="14" t="s">
        <v>56</v>
      </c>
      <c r="C12" s="14"/>
      <c r="D12" s="14"/>
      <c r="E12" s="15"/>
    </row>
    <row r="13" spans="1:5" x14ac:dyDescent="0.2">
      <c r="A13" s="14" t="s">
        <v>57</v>
      </c>
      <c r="B13" s="14" t="s">
        <v>58</v>
      </c>
      <c r="C13" s="14"/>
      <c r="D13" s="14"/>
      <c r="E13" s="15">
        <v>40450</v>
      </c>
    </row>
    <row r="14" spans="1:5" x14ac:dyDescent="0.2">
      <c r="A14" t="s">
        <v>60</v>
      </c>
      <c r="B14" s="14" t="s">
        <v>61</v>
      </c>
      <c r="C14" s="14"/>
      <c r="D14" s="14"/>
      <c r="E14" s="15">
        <v>40816</v>
      </c>
    </row>
    <row r="15" spans="1:5" x14ac:dyDescent="0.2">
      <c r="A15" t="s">
        <v>63</v>
      </c>
      <c r="B15" s="14" t="s">
        <v>64</v>
      </c>
      <c r="C15" s="14"/>
      <c r="D15" s="14"/>
      <c r="E15" s="15">
        <v>41180</v>
      </c>
    </row>
    <row r="16" spans="1:5" x14ac:dyDescent="0.2">
      <c r="A16" s="12" t="s">
        <v>68</v>
      </c>
      <c r="B16" s="59" t="s">
        <v>69</v>
      </c>
      <c r="C16" s="14"/>
      <c r="D16" s="14"/>
      <c r="E16" s="61">
        <v>41544</v>
      </c>
    </row>
    <row r="17" spans="1:24" x14ac:dyDescent="0.2">
      <c r="A17" s="12" t="s">
        <v>71</v>
      </c>
      <c r="B17" s="59" t="s">
        <v>72</v>
      </c>
      <c r="C17" s="14"/>
      <c r="D17" s="14"/>
      <c r="E17" s="61">
        <v>41908</v>
      </c>
    </row>
    <row r="18" spans="1:24" x14ac:dyDescent="0.2">
      <c r="A18" s="12" t="s">
        <v>75</v>
      </c>
      <c r="B18" s="59" t="s">
        <v>80</v>
      </c>
      <c r="C18" s="14"/>
      <c r="D18" s="14"/>
      <c r="E18" s="61">
        <v>42272</v>
      </c>
    </row>
    <row r="19" spans="1:24" x14ac:dyDescent="0.2">
      <c r="A19" s="12" t="s">
        <v>79</v>
      </c>
      <c r="B19" s="59" t="s">
        <v>90</v>
      </c>
      <c r="C19" s="14"/>
      <c r="D19" s="14"/>
      <c r="E19" s="61">
        <v>42643</v>
      </c>
    </row>
    <row r="20" spans="1:24" x14ac:dyDescent="0.2">
      <c r="A20" s="112" t="s">
        <v>100</v>
      </c>
      <c r="B20" s="55" t="s">
        <v>101</v>
      </c>
      <c r="C20" s="14"/>
      <c r="D20" s="14"/>
      <c r="E20" s="102">
        <f>'Data 2022_23'!B60</f>
        <v>45191</v>
      </c>
    </row>
    <row r="21" spans="1:24" x14ac:dyDescent="0.2">
      <c r="A21" s="112" t="s">
        <v>102</v>
      </c>
      <c r="B21" s="55" t="s">
        <v>101</v>
      </c>
      <c r="C21" s="14"/>
      <c r="D21" s="14"/>
      <c r="E21" s="102">
        <f>'Data 2022_23'!B61</f>
        <v>45198</v>
      </c>
    </row>
    <row r="22" spans="1:24" x14ac:dyDescent="0.2">
      <c r="A22" s="112" t="s">
        <v>103</v>
      </c>
      <c r="B22" s="55" t="s">
        <v>104</v>
      </c>
      <c r="C22" s="14"/>
      <c r="D22" s="14"/>
      <c r="E22" s="102">
        <f>'Data 2023_24'!B60</f>
        <v>45555</v>
      </c>
    </row>
    <row r="23" spans="1:24" ht="13.5" thickBot="1" x14ac:dyDescent="0.25">
      <c r="A23" s="112" t="s">
        <v>114</v>
      </c>
      <c r="B23" s="55" t="s">
        <v>115</v>
      </c>
      <c r="C23" s="14"/>
      <c r="D23" s="14"/>
      <c r="E23" s="102">
        <f>'Data 2024_25'!B24</f>
        <v>45667</v>
      </c>
    </row>
    <row r="24" spans="1:24" x14ac:dyDescent="0.2">
      <c r="A24" s="92" t="s">
        <v>29</v>
      </c>
      <c r="B24" s="122" t="s">
        <v>31</v>
      </c>
      <c r="C24" s="123"/>
      <c r="D24" s="123"/>
      <c r="E24" s="97">
        <f>E23</f>
        <v>45667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07"/>
      <c r="S24" s="107"/>
      <c r="T24" s="107"/>
      <c r="U24" s="107"/>
      <c r="V24" s="107"/>
      <c r="W24" s="107"/>
      <c r="X24" s="107"/>
    </row>
    <row r="25" spans="1:24" s="4" customFormat="1" ht="13.5" thickBot="1" x14ac:dyDescent="0.25">
      <c r="A25" s="94" t="s">
        <v>28</v>
      </c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93"/>
      <c r="M25" s="93"/>
      <c r="N25" s="93"/>
      <c r="O25" s="95"/>
      <c r="P25" s="95"/>
      <c r="Q25" s="95"/>
      <c r="R25" s="106"/>
      <c r="S25" s="106"/>
      <c r="T25" s="106"/>
      <c r="U25" s="106"/>
      <c r="V25" s="106"/>
      <c r="W25" s="106"/>
      <c r="X25" s="106"/>
    </row>
    <row r="26" spans="1:24" ht="13.5" thickBot="1" x14ac:dyDescent="0.25">
      <c r="A26" s="80"/>
      <c r="B26" s="75" t="s">
        <v>17</v>
      </c>
      <c r="C26" s="76" t="s">
        <v>16</v>
      </c>
      <c r="D26" s="76" t="s">
        <v>19</v>
      </c>
      <c r="E26" s="77" t="s">
        <v>22</v>
      </c>
      <c r="F26" s="76" t="s">
        <v>40</v>
      </c>
      <c r="G26" s="78" t="s">
        <v>43</v>
      </c>
      <c r="H26" s="74" t="s">
        <v>50</v>
      </c>
      <c r="I26" s="79" t="s">
        <v>55</v>
      </c>
      <c r="J26" s="79" t="s">
        <v>60</v>
      </c>
      <c r="K26" s="78" t="s">
        <v>63</v>
      </c>
      <c r="L26" s="75" t="s">
        <v>68</v>
      </c>
      <c r="M26" s="74" t="s">
        <v>71</v>
      </c>
      <c r="N26" s="74" t="s">
        <v>75</v>
      </c>
      <c r="O26" s="96" t="s">
        <v>79</v>
      </c>
      <c r="P26" s="96" t="s">
        <v>81</v>
      </c>
      <c r="Q26" s="96" t="s">
        <v>84</v>
      </c>
      <c r="R26" s="96" t="s">
        <v>87</v>
      </c>
      <c r="S26" s="96" t="s">
        <v>91</v>
      </c>
      <c r="T26" s="96" t="s">
        <v>95</v>
      </c>
      <c r="U26" s="96" t="s">
        <v>100</v>
      </c>
      <c r="V26" s="96" t="s">
        <v>102</v>
      </c>
      <c r="W26" s="96" t="s">
        <v>103</v>
      </c>
      <c r="X26" s="96" t="s">
        <v>114</v>
      </c>
    </row>
    <row r="27" spans="1:24" x14ac:dyDescent="0.2">
      <c r="A27" s="26" t="s">
        <v>92</v>
      </c>
      <c r="B27" s="28"/>
      <c r="C27" s="30"/>
      <c r="D27" s="32"/>
      <c r="E27" s="30"/>
      <c r="F27" s="36"/>
      <c r="G27" s="30"/>
      <c r="H27" s="36"/>
      <c r="I27" s="34"/>
      <c r="J27" s="17"/>
      <c r="K27" s="71"/>
      <c r="L27" s="81">
        <f>288</f>
        <v>288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x14ac:dyDescent="0.2">
      <c r="A28" s="26" t="s">
        <v>107</v>
      </c>
      <c r="B28" s="113"/>
      <c r="C28" s="30"/>
      <c r="D28" s="36"/>
      <c r="E28" s="30"/>
      <c r="F28" s="36"/>
      <c r="G28" s="30"/>
      <c r="H28" s="36"/>
      <c r="I28" s="34"/>
      <c r="J28" s="17"/>
      <c r="K28" s="71"/>
      <c r="L28" s="8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>
        <f>13334+19107</f>
        <v>32441</v>
      </c>
      <c r="X28" s="36"/>
    </row>
    <row r="29" spans="1:24" x14ac:dyDescent="0.2">
      <c r="A29" s="27" t="s">
        <v>11</v>
      </c>
      <c r="B29" s="29"/>
      <c r="C29" s="31"/>
      <c r="D29" s="33"/>
      <c r="E29" s="31"/>
      <c r="F29" s="33"/>
      <c r="G29" s="31"/>
      <c r="H29" s="33"/>
      <c r="I29" s="35"/>
      <c r="J29" s="19"/>
      <c r="K29" s="72"/>
      <c r="L29" s="82">
        <f>106+278</f>
        <v>384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x14ac:dyDescent="0.2">
      <c r="A30" s="27" t="s">
        <v>4</v>
      </c>
      <c r="B30" s="29" t="s">
        <v>0</v>
      </c>
      <c r="C30" s="31">
        <f>383710+11574+18145</f>
        <v>413429</v>
      </c>
      <c r="D30" s="33">
        <f>23707+11660+16810+22498+18515+20763+8366+6437+17854+27033+5767+960+104177</f>
        <v>284547</v>
      </c>
      <c r="E30" s="31">
        <f>7158+6302+1385+23292+1074+8500+7888+7087+17536+25000+11750</f>
        <v>116972</v>
      </c>
      <c r="F30" s="62">
        <f>30695+20109+9297+24369+23267+15469+10019+13945+12000+14465+17199+3688+10055+4998+8777+5433+5910+6571</f>
        <v>236266</v>
      </c>
      <c r="G30" s="31">
        <f>6975+517+17523+9977+24648+15873+4756+11888+17368+32282+16100+27193+11610+15165+13045+77466+11127+12100+16418+31906+30465-926</f>
        <v>403476</v>
      </c>
      <c r="H30" s="33">
        <f>26607+23467+36337+22435</f>
        <v>108846</v>
      </c>
      <c r="I30" s="35">
        <f>17068+4193+3945+23081+26992+17014+6044+3110+4942+27000+31941</f>
        <v>165330</v>
      </c>
      <c r="J30" s="19">
        <f>29836+4292+11816+10000+17553+5701+6358+37587+10000+30908+12216+18751+28983+16500+10000+21077+7395+13511+12039+43857+5920+7954+51190+11681+42334+8545+8807+10000+3054+18456+7500+8572+53907</f>
        <v>586300</v>
      </c>
      <c r="K30" s="72">
        <f>19464+601+6205+12620+15684+58341</f>
        <v>112915</v>
      </c>
      <c r="L30" s="82">
        <f>22942+5289+7758+6583</f>
        <v>42572</v>
      </c>
      <c r="M30" s="33">
        <f>10417+7985+13274+507+10495+7258+3526+6307</f>
        <v>59769</v>
      </c>
      <c r="N30" s="33">
        <f>6501+9025+10253+2532</f>
        <v>28311</v>
      </c>
      <c r="O30" s="33">
        <f>20069+11405+36055+19966+13907+23284+10687+6868+920+8799+12089+6599+7259</f>
        <v>177907</v>
      </c>
      <c r="P30" s="33">
        <f>29767+6099+7192+5900+5861+94+6028</f>
        <v>60941</v>
      </c>
      <c r="Q30" s="33">
        <f>8817+7710+6804+9209+296+29102+2223+22871</f>
        <v>87032</v>
      </c>
      <c r="R30" s="33">
        <f>17996+3926+12234+6320+37042+49647+5007+7955</f>
        <v>140127</v>
      </c>
      <c r="S30" s="33">
        <f>4834+8499+12319+14707+8968+8764</f>
        <v>58091</v>
      </c>
      <c r="T30" s="33">
        <f>10992+6374+4536+12972</f>
        <v>34874</v>
      </c>
      <c r="U30" s="33">
        <f>22001+10332</f>
        <v>32333</v>
      </c>
      <c r="V30" s="33">
        <f>7663+10884</f>
        <v>18547</v>
      </c>
      <c r="W30" s="36">
        <f>13192+10865</f>
        <v>24057</v>
      </c>
      <c r="X30" s="36"/>
    </row>
    <row r="31" spans="1:24" x14ac:dyDescent="0.2">
      <c r="A31" s="27" t="s">
        <v>21</v>
      </c>
      <c r="B31" s="29"/>
      <c r="C31" s="31"/>
      <c r="D31" s="33">
        <f>24250+10120</f>
        <v>34370</v>
      </c>
      <c r="E31" s="31">
        <f>19957+4969+10567+23879</f>
        <v>59372</v>
      </c>
      <c r="F31" s="33">
        <f>29005+10671+9376+13678+32660+27857+31572</f>
        <v>154819</v>
      </c>
      <c r="G31" s="31">
        <f>27997+9703+20683+2547+24672+26711+26930+4759+6014+10618+24749+7321+381</f>
        <v>193085</v>
      </c>
      <c r="H31" s="33">
        <f>20262+18184+13178+3207</f>
        <v>54831</v>
      </c>
      <c r="I31" s="35">
        <f>12561+33000+27350</f>
        <v>72911</v>
      </c>
      <c r="J31" s="19">
        <f>32850+8621+29004+3352+5870</f>
        <v>79697</v>
      </c>
      <c r="K31" s="72">
        <f>2988+42264</f>
        <v>45252</v>
      </c>
      <c r="L31" s="82">
        <f>13402+16500+18681</f>
        <v>48583</v>
      </c>
      <c r="M31" s="33">
        <f>16155+6502+21750+42348+6231+20107</f>
        <v>113093</v>
      </c>
      <c r="N31" s="33">
        <f>7644+8704+34793+3001+25666+945+24056+1712</f>
        <v>106521</v>
      </c>
      <c r="O31" s="33">
        <f>5500+24568+15868+2903+29827+24150</f>
        <v>102816</v>
      </c>
      <c r="P31" s="33">
        <f>7743+5948+7146+7004</f>
        <v>27841</v>
      </c>
      <c r="Q31" s="33">
        <f>37529+9986+8004+35175</f>
        <v>90694</v>
      </c>
      <c r="R31" s="33">
        <f>6734+8431+1320+20627+13258+15972+6449+12557</f>
        <v>85348</v>
      </c>
      <c r="S31" s="33">
        <f>4468+10070+19892+16570</f>
        <v>51000</v>
      </c>
      <c r="T31" s="33">
        <f>12207+8663+34120+8700+10092+8615+6625+3400+24526+11605+7910</f>
        <v>136463</v>
      </c>
      <c r="U31" s="33"/>
      <c r="V31" s="33"/>
      <c r="W31" s="33">
        <f>4300</f>
        <v>4300</v>
      </c>
      <c r="X31" s="33">
        <f>30988+3151+19966</f>
        <v>54105</v>
      </c>
    </row>
    <row r="32" spans="1:24" x14ac:dyDescent="0.2">
      <c r="A32" s="27" t="s">
        <v>8</v>
      </c>
      <c r="B32" s="29" t="s">
        <v>0</v>
      </c>
      <c r="C32" s="31">
        <v>12199</v>
      </c>
      <c r="D32" s="33">
        <f>14413+10506+2271+18723+3110+11793+22061+3641+850+26432</f>
        <v>113800</v>
      </c>
      <c r="E32" s="31">
        <f>1182+422+42143+2324+9006+34350+4991+13915+10598+9709+26155+10762+29807+5001+16111+5514+10859+13682+10047+4799+8798+6513+8244+2758+12144+11929+16850+3143+23412</f>
        <v>355168</v>
      </c>
      <c r="F32" s="33">
        <f>26624+21955+9497+4013+18560</f>
        <v>80649</v>
      </c>
      <c r="G32" s="31">
        <f>43623+13604+20980+13228+14560+5018</f>
        <v>111013</v>
      </c>
      <c r="H32" s="33">
        <f>6275+28993+34852+10270+3295+16707+30167+9300+7338+9339+6963+8888+19851+19160+17574+15323+809+7001+1426+12500+18997+5003+44564+27267+13306+418+26383+9558+11581+9361+5088+20798+15135+29083+12016</f>
        <v>514589</v>
      </c>
      <c r="I32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2" s="19">
        <f>8462+4499+13500+8863+8080+10000+3865+31329</f>
        <v>88598</v>
      </c>
      <c r="K32" s="72">
        <f>66657+4809+34498</f>
        <v>105964</v>
      </c>
      <c r="L32" s="82">
        <f>35028+7939+1797+9715+33755+7242</f>
        <v>95476</v>
      </c>
      <c r="M32" s="33">
        <f>56443+13231+2841+10649+18299+38245+24562+13869</f>
        <v>178139</v>
      </c>
      <c r="N32" s="33">
        <f>33450+5586+7870+41872+4422+43953+30880+41634+26219+12779+24827+33477+22181+11964+12930+1219</f>
        <v>355263</v>
      </c>
      <c r="O32" s="33">
        <f>7173+27357+22125+11893+27130+8009+40817+44545+11918+22081+15304+43272+1827</f>
        <v>283451</v>
      </c>
      <c r="P32" s="33">
        <f>2000+26007+11408+6795+32900+7888+1776+17045+29807+26337+10461+25696+15900+23444</f>
        <v>237464</v>
      </c>
      <c r="Q32" s="33">
        <f>19852+39789+50778+1538+10343+14886+10948+13755+48182+59376+12865</f>
        <v>282312</v>
      </c>
      <c r="R32" s="33">
        <f>33616+2890+5911+1501+48513+21196+63650+12127+26967+1336+30334+15559+52335+23574+5668</f>
        <v>345177</v>
      </c>
      <c r="S32" s="33">
        <f>7842+13495+40663+34823+13678+21575+25140+10446+14085+7725+18350+21899+23906+17753+3165</f>
        <v>274545</v>
      </c>
      <c r="T32" s="33">
        <f>33854+17607</f>
        <v>51461</v>
      </c>
      <c r="U32" s="33"/>
      <c r="V32" s="33">
        <f>47917+25382+7185+19797+17168</f>
        <v>117449</v>
      </c>
      <c r="W32" s="33"/>
      <c r="X32" s="33"/>
    </row>
    <row r="33" spans="1:24" x14ac:dyDescent="0.2">
      <c r="A33" s="27" t="s">
        <v>65</v>
      </c>
      <c r="B33" s="29"/>
      <c r="C33" s="31"/>
      <c r="D33" s="33"/>
      <c r="E33" s="31"/>
      <c r="F33" s="33"/>
      <c r="G33" s="31"/>
      <c r="H33" s="33">
        <f>5000+8013</f>
        <v>13013</v>
      </c>
      <c r="I33" s="35"/>
      <c r="J33" s="19"/>
      <c r="K33" s="72">
        <f>24133+9633+15919+6797+26440+2738+47261+16150</f>
        <v>149071</v>
      </c>
      <c r="L33" s="82">
        <f>25501+39215+6889+31512+4736+30417+10022+26462+41146</f>
        <v>215900</v>
      </c>
      <c r="M33" s="33">
        <f>9245+38320+43020+10739+34520+53977+24569+40828+48683+89614+31105+17807+2439+23975+20568+21689+21723+3072+106245+30818+23148+24947+24607+33656+15295</f>
        <v>794609</v>
      </c>
      <c r="N33" s="33">
        <f>62854+40562+59490+7585+28712+45900+20173+59569+15864+10759+33670+17940+19686+13496+38202+5090+28204+29726+14713+38096+62485+15062</f>
        <v>667838</v>
      </c>
      <c r="O33" s="33">
        <f>51141+47960+29825+57439+34089+47563+20488+67796+38848+24795+16572+45994+2313+12460+19901+13982+5602+73341+21956+901+15026+4909+435+36649+51310+106455+73969+9625</f>
        <v>931344</v>
      </c>
      <c r="P33" s="33">
        <f>25552+14569+40517+2013+30722+16501+9000+4721+584+11967+24915+1900</f>
        <v>182961</v>
      </c>
      <c r="Q33" s="33">
        <f>23446+52951+41299+85086+75307+48962+22900+26983+5629+25524+56011+27541+39847+50794+27479+16880+38109+31083+20485+46164+32641+721+13458+99555+48927</f>
        <v>957782</v>
      </c>
      <c r="R33" s="33">
        <f>56567+68651+50699+22114+25775+6520+30927+31249+11992+764+148+24969+44918+60+5115+16161+239+4656</f>
        <v>401524</v>
      </c>
      <c r="S33" s="33">
        <f>87580+46145+36563+49457+9022+3550+21887+10494+46954+43004+16287+15996+23517+24151+33525+8917+35337+9935</f>
        <v>522321</v>
      </c>
      <c r="T33" s="33">
        <f>42342+26554+2571+7688+41599+11340+22551+18169+6552+11474+14073</f>
        <v>204913</v>
      </c>
      <c r="U33" s="33"/>
      <c r="V33" s="33">
        <f>24678+16783+19151+1878+25756+36322+3692+43201+3395+25735+9797+34539+19754</f>
        <v>264681</v>
      </c>
      <c r="W33" s="33">
        <f>50402+19464+19017+37254+67590+36887+25802+34381+27113+17946+27637+52479+3233+39767+2435+35554+12773+25211+7789</f>
        <v>542734</v>
      </c>
      <c r="X33" s="33">
        <f>28964+53239+45189+31892+488+26327+26349+44066</f>
        <v>256514</v>
      </c>
    </row>
    <row r="34" spans="1:24" x14ac:dyDescent="0.2">
      <c r="A34" s="27" t="s">
        <v>62</v>
      </c>
      <c r="B34" s="29"/>
      <c r="C34" s="31"/>
      <c r="D34" s="33"/>
      <c r="E34" s="31"/>
      <c r="F34" s="33"/>
      <c r="G34" s="31"/>
      <c r="H34" s="33"/>
      <c r="I34" s="35"/>
      <c r="J34" s="19">
        <f>9218+16031</f>
        <v>25249</v>
      </c>
      <c r="K34" s="72">
        <f>26566+7720+10964</f>
        <v>45250</v>
      </c>
      <c r="L34" s="82">
        <f>14054+12007+16524+9935+19621+4171+10721+12000</f>
        <v>99033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x14ac:dyDescent="0.2">
      <c r="A35" s="27" t="s">
        <v>5</v>
      </c>
      <c r="B35" s="29" t="s">
        <v>0</v>
      </c>
      <c r="C35" s="31">
        <f>199845+28450+22906+2295+10139</f>
        <v>263635</v>
      </c>
      <c r="D35" s="33">
        <f>5493+6391+6116+6082+15056+10215+3558+20939+15133+20681+14386+3500+20762+18353+20190+10544+10949+6537+44240+37479+38680+6232+46416+9697+27776+137668-3576+1056+12525+2076</f>
        <v>575154</v>
      </c>
      <c r="E35" s="31">
        <f>18000+14806+5060+4744+20216+7000+6945+12061+19832+36895+6976+20391+9750+19195+10979+7805+9255+22854+3917+8133+2514+11877+32802+8559+5213+12170+19341+4551+2028+8573+16460</f>
        <v>388902</v>
      </c>
      <c r="F35" s="33">
        <f>11144+5482+2134+7617+17247+26014+4998+7054+4546+27570+11706+12700+8448+7279+4596+10949+6300+4493+11125+4255+15454+4723+9732+12970+16850+12963+7002+11988+23185</f>
        <v>310524</v>
      </c>
      <c r="G35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5" s="33">
        <f>5156+10508+29738+8207+13815+9136+9730+7224+4645+10189+10015+6359+19536+20134+882+9930+30000+6000+10705+12245+17046+32074+15531+33672+12529+6956+3339+19216</f>
        <v>374517</v>
      </c>
      <c r="I35" s="35"/>
      <c r="J35" s="19">
        <f>18123+31308+15208+8012+21750+37154+20783+6440+8255+26500+23360+6807+44046+43257+10000+19838+72838+36819+10000+26634+27250+40232+22731+10000+10805+7833+9603+2419</f>
        <v>618005</v>
      </c>
      <c r="K35" s="72">
        <f>18447+29324+3723+8502+48094+29548+29633+22246+9055+41958+18420+24047+39613+20575+29704+12000+4990+20688+5167+13853+16994+30416+9332+21814+54804+58537+7976+22508</f>
        <v>651968</v>
      </c>
      <c r="L35" s="82">
        <f>10685+14965+24369+8867+4041+17959+8004+9139</f>
        <v>98029</v>
      </c>
      <c r="M35" s="33"/>
      <c r="N35" s="33">
        <f>38442+20545</f>
        <v>58987</v>
      </c>
      <c r="O35" s="33">
        <f>9405+8665+9936+18116+3394</f>
        <v>49516</v>
      </c>
      <c r="P35" s="33">
        <f>17999+17614</f>
        <v>35613</v>
      </c>
      <c r="Q35" s="33">
        <f>10088+28465+2135+535+10611+14280+44561+10007+10037+1714</f>
        <v>132433</v>
      </c>
      <c r="R35" s="33">
        <f>21760+11688+2071</f>
        <v>35519</v>
      </c>
      <c r="S35" s="33"/>
      <c r="T35" s="33"/>
      <c r="U35" s="33">
        <f>9892+5187+1731+25734+8582+26559+1871+8124+30000+21795+28043+53457+16668+28948+24237+8010</f>
        <v>298838</v>
      </c>
      <c r="V35" s="33">
        <f>32535+1184</f>
        <v>33719</v>
      </c>
      <c r="W35" s="33">
        <f>3899</f>
        <v>3899</v>
      </c>
      <c r="X35" s="33"/>
    </row>
    <row r="36" spans="1:24" x14ac:dyDescent="0.2">
      <c r="A36" s="27" t="s">
        <v>6</v>
      </c>
      <c r="B36" s="29" t="s">
        <v>0</v>
      </c>
      <c r="C36" s="31">
        <f>272711+25793</f>
        <v>298504</v>
      </c>
      <c r="D36" s="33">
        <f>24482+22680+2305+27463+27404+49778</f>
        <v>154112</v>
      </c>
      <c r="E36" s="31">
        <f>16062+1348+12938+29579</f>
        <v>59927</v>
      </c>
      <c r="F36" s="33"/>
      <c r="G36" s="31"/>
      <c r="H36" s="33">
        <f>12969+364+12320+32960+16101</f>
        <v>74714</v>
      </c>
      <c r="I36" s="35">
        <f>10866+19297+23776</f>
        <v>53939</v>
      </c>
      <c r="J36" s="19">
        <f>28424+2576+15671+44761+8200+28807+12016+4993+23323+4561+20321</f>
        <v>193653</v>
      </c>
      <c r="K36" s="72">
        <f>17917+12965+13209+14438+15395+7848+16514+6582+30000+49327+10660+331+11452+7865+3135+30037</f>
        <v>247675</v>
      </c>
      <c r="L36" s="82">
        <f>14974+11347+5089+18493+5808+3246+34211+21281+11808+13582+18163+665+20477+1282+9499</f>
        <v>189925</v>
      </c>
      <c r="M36" s="33">
        <f>24819+4764+21012</f>
        <v>50595</v>
      </c>
      <c r="N36" s="33">
        <f>26869+12013+5500+36406+17404</f>
        <v>98192</v>
      </c>
      <c r="O36" s="33">
        <f>16193+22252</f>
        <v>38445</v>
      </c>
      <c r="P36" s="33">
        <f>3850+3925+16904</f>
        <v>24679</v>
      </c>
      <c r="Q36" s="33"/>
      <c r="R36" s="33"/>
      <c r="S36" s="33"/>
      <c r="T36" s="33">
        <f>39698+9027+7568+41011+78248+29446+5996+32105+26096+72+7018+2985+102433+43757+33140</f>
        <v>458600</v>
      </c>
      <c r="U36" s="33">
        <f>62186+50870+30977+7207+6171+38653+1963+22494+7200+5851+9397+30410+18284+20377+3193</f>
        <v>315233</v>
      </c>
      <c r="V36" s="33">
        <f>2361+4276+4059+30381+53759+2427+1740+4825+42020+30740+21482+2692+29236+8495+7330+16275</f>
        <v>262098</v>
      </c>
      <c r="W36" s="33">
        <f>18113+23706+40144+24663+56350+30090+4203+19864+7898+6004+23396+33138+21766+5972+14695+19535+43399</f>
        <v>392936</v>
      </c>
      <c r="X36" s="33"/>
    </row>
    <row r="37" spans="1:24" x14ac:dyDescent="0.2">
      <c r="A37" s="27" t="s">
        <v>23</v>
      </c>
      <c r="B37" s="29"/>
      <c r="C37" s="31"/>
      <c r="D37" s="33">
        <v>29935</v>
      </c>
      <c r="E37" s="31">
        <f>25225+7523+18400+21575+13256</f>
        <v>85979</v>
      </c>
      <c r="F37" s="33"/>
      <c r="G37" s="31"/>
      <c r="H37" s="33">
        <f>13521</f>
        <v>13521</v>
      </c>
      <c r="I37" s="35">
        <f>24541+14508+2181</f>
        <v>41230</v>
      </c>
      <c r="J37" s="19"/>
      <c r="K37" s="72">
        <f>20023+4653+14340</f>
        <v>39016</v>
      </c>
      <c r="L37" s="82">
        <f>17812+40053+53647+34072+7850+2121+23948+13570+13222+7442+3136+27174+15010+20175+7181+25810+29753</f>
        <v>341976</v>
      </c>
      <c r="M37" s="33">
        <f>43740+47120+23889+4292+45057+25284+7059+32259+44321+42684+42647+14079</f>
        <v>372431</v>
      </c>
      <c r="N37" s="33">
        <f>5808+10719+12250+31201+34256+12094+30654+6054+31445+15754+29623+9922+36905+7036</f>
        <v>273721</v>
      </c>
      <c r="O37" s="33">
        <f>33272+14949+21474+3588+2195+27838+6034</f>
        <v>109350</v>
      </c>
      <c r="P37" s="33">
        <f>10896</f>
        <v>10896</v>
      </c>
      <c r="Q37" s="33">
        <f>11332+28991+15082+35376+10122+34766</f>
        <v>135669</v>
      </c>
      <c r="R37" s="33">
        <f>28193+16588+5098</f>
        <v>49879</v>
      </c>
      <c r="S37" s="33">
        <f>30707+43566+9633</f>
        <v>83906</v>
      </c>
      <c r="T37" s="33">
        <f>3917+3424</f>
        <v>7341</v>
      </c>
      <c r="U37" s="33"/>
      <c r="V37" s="33"/>
      <c r="W37" s="33"/>
      <c r="X37" s="33"/>
    </row>
    <row r="38" spans="1:24" x14ac:dyDescent="0.2">
      <c r="A38" s="27" t="s">
        <v>54</v>
      </c>
      <c r="B38" s="29"/>
      <c r="C38" s="31"/>
      <c r="D38" s="33"/>
      <c r="E38" s="31"/>
      <c r="F38" s="33"/>
      <c r="G38" s="31"/>
      <c r="H38" s="33">
        <f>27116+17250</f>
        <v>44366</v>
      </c>
      <c r="I38" s="35">
        <f>26784+26327+35741+12957+22135</f>
        <v>123944</v>
      </c>
      <c r="J38" s="19">
        <f>29951+28600</f>
        <v>58551</v>
      </c>
      <c r="K38" s="72">
        <f>23638+16435+3499+27431+15102+19169+6505+35151+6442+3359+30958+8892+16808+63031</f>
        <v>276420</v>
      </c>
      <c r="L38" s="82">
        <f>24026+11006+10404+56680+6343+7620+5800+45330+37904+8321+11310+9989</f>
        <v>234733</v>
      </c>
      <c r="M38" s="33"/>
      <c r="N38" s="33"/>
      <c r="O38" s="33"/>
      <c r="P38" s="33"/>
      <c r="Q38" s="33"/>
      <c r="R38" s="33"/>
      <c r="S38" s="33"/>
      <c r="T38" s="33"/>
      <c r="U38" s="33">
        <f>37337+47422+8268+30325+14591+38107+66589</f>
        <v>242639</v>
      </c>
      <c r="V38" s="33">
        <f>35899+15660+44340+27261+12673</f>
        <v>135833</v>
      </c>
      <c r="W38" s="33"/>
      <c r="X38" s="33"/>
    </row>
    <row r="39" spans="1:24" ht="13.5" customHeight="1" x14ac:dyDescent="0.2">
      <c r="A39" s="27" t="s">
        <v>7</v>
      </c>
      <c r="B39" s="29" t="s">
        <v>0</v>
      </c>
      <c r="C39" s="31">
        <v>22420</v>
      </c>
      <c r="D39" s="33">
        <v>27586</v>
      </c>
      <c r="E39" s="31"/>
      <c r="F39" s="33"/>
      <c r="G39" s="31"/>
      <c r="H39" s="33"/>
      <c r="I39" s="35"/>
      <c r="J39" s="19"/>
      <c r="K39" s="72"/>
      <c r="L39" s="8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3.5" customHeight="1" x14ac:dyDescent="0.2">
      <c r="A40" s="37" t="s">
        <v>73</v>
      </c>
      <c r="B40" s="38"/>
      <c r="C40" s="39"/>
      <c r="D40" s="40"/>
      <c r="E40" s="39"/>
      <c r="F40" s="40"/>
      <c r="G40" s="39"/>
      <c r="H40" s="40"/>
      <c r="I40" s="41"/>
      <c r="J40" s="42"/>
      <c r="K40" s="73"/>
      <c r="L40" s="83"/>
      <c r="M40" s="33">
        <v>25430</v>
      </c>
      <c r="N40" s="33"/>
      <c r="O40" s="33"/>
      <c r="P40" s="33"/>
      <c r="Q40" s="33"/>
      <c r="R40" s="33"/>
      <c r="S40" s="33">
        <f>21860</f>
        <v>21860</v>
      </c>
      <c r="T40" s="33"/>
      <c r="U40" s="33"/>
      <c r="V40" s="33"/>
      <c r="W40" s="33"/>
      <c r="X40" s="33"/>
    </row>
    <row r="41" spans="1:24" x14ac:dyDescent="0.2">
      <c r="A41" s="37" t="s">
        <v>18</v>
      </c>
      <c r="B41" s="38" t="s">
        <v>0</v>
      </c>
      <c r="C41" s="39">
        <v>25016</v>
      </c>
      <c r="D41" s="40">
        <v>0</v>
      </c>
      <c r="E41" s="39">
        <f>9920</f>
        <v>9920</v>
      </c>
      <c r="F41" s="40"/>
      <c r="G41" s="39"/>
      <c r="H41" s="40"/>
      <c r="I41" s="41"/>
      <c r="J41" s="42"/>
      <c r="K41" s="73"/>
      <c r="L41" s="8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x14ac:dyDescent="0.2">
      <c r="A42" s="37" t="s">
        <v>74</v>
      </c>
      <c r="B42" s="38"/>
      <c r="C42" s="39"/>
      <c r="D42" s="40"/>
      <c r="E42" s="39"/>
      <c r="F42" s="40"/>
      <c r="G42" s="39"/>
      <c r="H42" s="40"/>
      <c r="I42" s="41"/>
      <c r="J42" s="42"/>
      <c r="K42" s="73"/>
      <c r="L42" s="83"/>
      <c r="M42" s="33">
        <f>10002+12012</f>
        <v>22014</v>
      </c>
      <c r="N42" s="33">
        <f>7941+11133+29926+12005</f>
        <v>61005</v>
      </c>
      <c r="O42" s="33"/>
      <c r="P42" s="33">
        <f>16905</f>
        <v>16905</v>
      </c>
      <c r="Q42" s="33">
        <f>10780+21627+14478+35988+6469+50665</f>
        <v>140007</v>
      </c>
      <c r="R42" s="33">
        <f>39290</f>
        <v>39290</v>
      </c>
      <c r="S42" s="33">
        <f>15393+17251+5956+16203</f>
        <v>54803</v>
      </c>
      <c r="T42" s="33">
        <f>5445+25261+2803+33784+9887+3532</f>
        <v>80712</v>
      </c>
      <c r="U42" s="33">
        <f>9029+11981+17225+3879+5277</f>
        <v>47391</v>
      </c>
      <c r="V42" s="33">
        <f>17832+4075+52930+1995</f>
        <v>76832</v>
      </c>
      <c r="W42" s="33">
        <f>8427+30087+20172+29519+22447+12257+14699</f>
        <v>137608</v>
      </c>
      <c r="X42" s="33">
        <f>15510+15515</f>
        <v>31025</v>
      </c>
    </row>
    <row r="43" spans="1:24" x14ac:dyDescent="0.2">
      <c r="A43" s="37" t="s">
        <v>59</v>
      </c>
      <c r="B43" s="38"/>
      <c r="C43" s="39"/>
      <c r="D43" s="40"/>
      <c r="E43" s="39"/>
      <c r="F43" s="40"/>
      <c r="G43" s="39"/>
      <c r="H43" s="40"/>
      <c r="I43" s="41">
        <f>3526</f>
        <v>3526</v>
      </c>
      <c r="J43" s="42"/>
      <c r="K43" s="73">
        <f>8880</f>
        <v>8880</v>
      </c>
      <c r="L43" s="83"/>
      <c r="M43" s="33">
        <f>20795+19737</f>
        <v>40532</v>
      </c>
      <c r="N43" s="33">
        <f>28798+6675+8318</f>
        <v>43791</v>
      </c>
      <c r="O43" s="33">
        <f>14937+23339+21136+45628+985+18880+9408+16701</f>
        <v>151014</v>
      </c>
      <c r="P43" s="33"/>
      <c r="Q43" s="33">
        <f>15268+6596+29657+38902+8139+35484+11031+4873+34486</f>
        <v>184436</v>
      </c>
      <c r="R43" s="33">
        <f>14000+30722+11769+5018+5000+4361+24540+28723</f>
        <v>124133</v>
      </c>
      <c r="S43" s="33">
        <f>12208+13713+4761+42508+7467+21632+1564+29646+4+20425+7722+41006</f>
        <v>202656</v>
      </c>
      <c r="T43" s="33">
        <f>20276+16171+15513+20171+3771+35893+19081+1694+1339+21377+18868+27816+11011+37976+18472</f>
        <v>269429</v>
      </c>
      <c r="U43" s="33">
        <f>11054+8961+17474+1614+14291+11527+39190+48814+44848+3034+78966+4370</f>
        <v>284143</v>
      </c>
      <c r="V43" s="33">
        <f>10125+10858+20032+41891+2373+47165+3452+11609+5988+6837+4123+29778+20585+9272+8813</f>
        <v>232901</v>
      </c>
      <c r="W43" s="33">
        <f>15891+4999+8782+13614+25712+20203+9026+20000+17249+4830+15000+18299+19088+3943+19570+9003+22282+36209+17715+23993+34956+11787+12324</f>
        <v>384475</v>
      </c>
      <c r="X43" s="33">
        <f>5396+54980+5296</f>
        <v>65672</v>
      </c>
    </row>
    <row r="44" spans="1:24" x14ac:dyDescent="0.2">
      <c r="A44" s="37" t="s">
        <v>76</v>
      </c>
      <c r="B44" s="38"/>
      <c r="C44" s="39"/>
      <c r="D44" s="40"/>
      <c r="E44" s="39"/>
      <c r="F44" s="40"/>
      <c r="G44" s="39"/>
      <c r="H44" s="40"/>
      <c r="I44" s="41"/>
      <c r="J44" s="42"/>
      <c r="K44" s="73"/>
      <c r="L44" s="83"/>
      <c r="M44" s="40"/>
      <c r="N44" s="40">
        <f>38816+11342+2678+38647</f>
        <v>91483</v>
      </c>
      <c r="O44" s="40">
        <f>30625+15752+21000+49361+2003+18005+48290</f>
        <v>185036</v>
      </c>
      <c r="P44" s="40">
        <f>15872+28534+9895+22604</f>
        <v>76905</v>
      </c>
      <c r="Q44" s="40">
        <f>8819+8695</f>
        <v>17514</v>
      </c>
      <c r="R44" s="40">
        <f>20367+4631</f>
        <v>24998</v>
      </c>
      <c r="S44" s="40">
        <f>9798+13524+26460+41488+28366+52032+78720+56622+85061+39605+16150+22207+34774+16130+15383+7014</f>
        <v>543334</v>
      </c>
      <c r="T44" s="40">
        <f>20559+23862+35897+12684+9646+32077+25973+57291+5055</f>
        <v>223044</v>
      </c>
      <c r="U44" s="40">
        <f>22323+9008+15978+7287+37973+10031+29014+30053+18514</f>
        <v>180181</v>
      </c>
      <c r="V44" s="40">
        <f>20790+26708+6307+20841+7315+6803+13926+42517+14604+40886+48330+36054+18870+5000+2952+6859+38890+6007+46700+5290+43520+10424+39003+7850</f>
        <v>516446</v>
      </c>
      <c r="W44" s="40">
        <f>8506+9449+6603+16020+16225+42646+12002+28180+26148+12099+31761+19822+12760+41093+33039+57794</f>
        <v>374147</v>
      </c>
      <c r="X44" s="40">
        <f>19726+17841+5001</f>
        <v>42568</v>
      </c>
    </row>
    <row r="45" spans="1:24" x14ac:dyDescent="0.2">
      <c r="A45" s="37" t="s">
        <v>83</v>
      </c>
      <c r="B45" s="38"/>
      <c r="C45" s="39"/>
      <c r="D45" s="40"/>
      <c r="E45" s="39"/>
      <c r="F45" s="40"/>
      <c r="G45" s="39"/>
      <c r="H45" s="40"/>
      <c r="I45" s="41"/>
      <c r="J45" s="42"/>
      <c r="K45" s="73"/>
      <c r="L45" s="83"/>
      <c r="M45" s="40"/>
      <c r="N45" s="40"/>
      <c r="O45" s="40"/>
      <c r="P45" s="40">
        <f>6098+11148+32451+903+13473+30928+23269+25976</f>
        <v>144246</v>
      </c>
      <c r="Q45" s="40">
        <f>18346+13695+15863</f>
        <v>47904</v>
      </c>
      <c r="R45" s="40">
        <f>35870+34525+12809+4888+22544</f>
        <v>110636</v>
      </c>
      <c r="S45" s="40">
        <f>39939+12426</f>
        <v>52365</v>
      </c>
      <c r="T45" s="40">
        <f>6810+2155</f>
        <v>8965</v>
      </c>
      <c r="U45" s="40"/>
      <c r="V45" s="40">
        <f>3102+16705+6249</f>
        <v>26056</v>
      </c>
      <c r="W45" s="40"/>
      <c r="X45" s="40"/>
    </row>
    <row r="46" spans="1:24" ht="13.5" thickBot="1" x14ac:dyDescent="0.25">
      <c r="A46" s="37" t="s">
        <v>66</v>
      </c>
      <c r="B46" s="38"/>
      <c r="C46" s="39"/>
      <c r="D46" s="40"/>
      <c r="E46" s="39"/>
      <c r="F46" s="40"/>
      <c r="G46" s="39"/>
      <c r="H46" s="40"/>
      <c r="I46" s="41"/>
      <c r="J46" s="42"/>
      <c r="K46" s="73">
        <f>17490+18581</f>
        <v>36071</v>
      </c>
      <c r="L46" s="83"/>
      <c r="M46" s="84"/>
      <c r="N46" s="84"/>
      <c r="O46" s="84"/>
      <c r="P46" s="84">
        <f>13178+21879+14876+45792+16552</f>
        <v>112277</v>
      </c>
      <c r="Q46" s="84">
        <f>28696+22907+5003+12030+19868+12945</f>
        <v>101449</v>
      </c>
      <c r="R46" s="84"/>
      <c r="S46" s="84"/>
      <c r="T46" s="84"/>
      <c r="U46" s="84"/>
      <c r="V46" s="84"/>
      <c r="W46" s="84"/>
      <c r="X46" s="84"/>
    </row>
    <row r="47" spans="1:24" ht="13.5" thickBot="1" x14ac:dyDescent="0.25">
      <c r="A47" s="25" t="s">
        <v>32</v>
      </c>
      <c r="B47" s="16">
        <f>SUM(B27:B34)</f>
        <v>0</v>
      </c>
      <c r="C47" s="43">
        <f>SUM(C27:C34)</f>
        <v>425628</v>
      </c>
      <c r="D47" s="44">
        <f t="shared" ref="D47:N47" si="0">SUM(D27:D46)</f>
        <v>1219504</v>
      </c>
      <c r="E47" s="45">
        <f t="shared" si="0"/>
        <v>1076240</v>
      </c>
      <c r="F47" s="46">
        <f t="shared" si="0"/>
        <v>782258</v>
      </c>
      <c r="G47" s="47">
        <f t="shared" si="0"/>
        <v>1386094</v>
      </c>
      <c r="H47" s="44">
        <f t="shared" si="0"/>
        <v>1198397</v>
      </c>
      <c r="I47" s="48">
        <f t="shared" si="0"/>
        <v>1283229</v>
      </c>
      <c r="J47" s="49">
        <f t="shared" si="0"/>
        <v>1650053</v>
      </c>
      <c r="K47" s="47">
        <f t="shared" si="0"/>
        <v>1718482</v>
      </c>
      <c r="L47" s="44">
        <f t="shared" si="0"/>
        <v>1366899</v>
      </c>
      <c r="M47" s="44">
        <f t="shared" si="0"/>
        <v>1656612</v>
      </c>
      <c r="N47" s="44">
        <f t="shared" si="0"/>
        <v>1785112</v>
      </c>
      <c r="O47" s="44">
        <f t="shared" ref="O47:T47" si="1">SUM(O27:O46)</f>
        <v>2028879</v>
      </c>
      <c r="P47" s="44">
        <f t="shared" si="1"/>
        <v>930728</v>
      </c>
      <c r="Q47" s="44">
        <f t="shared" si="1"/>
        <v>2177232</v>
      </c>
      <c r="R47" s="44">
        <f t="shared" si="1"/>
        <v>1356631</v>
      </c>
      <c r="S47" s="44">
        <f t="shared" si="1"/>
        <v>1864881</v>
      </c>
      <c r="T47" s="44">
        <f t="shared" si="1"/>
        <v>1475802</v>
      </c>
      <c r="U47" s="44">
        <f>SUM(U27:U46)</f>
        <v>1400758</v>
      </c>
      <c r="V47" s="44">
        <f>SUM(V27:V46)</f>
        <v>1684562</v>
      </c>
      <c r="W47" s="44">
        <f>SUM(W27:W46)</f>
        <v>1896597</v>
      </c>
      <c r="X47" s="44">
        <f>SUM(X27:X46)</f>
        <v>449884</v>
      </c>
    </row>
    <row r="48" spans="1:24" x14ac:dyDescent="0.2"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x14ac:dyDescent="0.2">
      <c r="A50" s="4" t="s">
        <v>9</v>
      </c>
    </row>
    <row r="51" spans="1:24" ht="13.5" thickBot="1" x14ac:dyDescent="0.25"/>
    <row r="52" spans="1:24" ht="13.5" thickBot="1" x14ac:dyDescent="0.25">
      <c r="A52" s="90" t="s">
        <v>78</v>
      </c>
      <c r="B52" s="91"/>
      <c r="C52" s="91"/>
      <c r="D52" s="91"/>
      <c r="E52" s="98">
        <f>E24</f>
        <v>45667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4"/>
      <c r="Q52" s="104"/>
      <c r="R52" s="105"/>
      <c r="S52" s="105"/>
      <c r="T52" s="105"/>
      <c r="U52" s="105"/>
      <c r="V52" s="105"/>
      <c r="W52" s="105"/>
      <c r="X52" s="105"/>
    </row>
    <row r="53" spans="1:24" s="4" customFormat="1" ht="13.5" thickBot="1" x14ac:dyDescent="0.25">
      <c r="A53" s="120" t="s">
        <v>33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88"/>
      <c r="M53" s="88"/>
      <c r="N53" s="88"/>
      <c r="O53" s="88"/>
      <c r="P53" s="88"/>
      <c r="Q53" s="88"/>
      <c r="R53" s="89"/>
      <c r="S53" s="89"/>
      <c r="T53" s="89"/>
      <c r="U53" s="89"/>
      <c r="V53" s="89"/>
      <c r="W53" s="89"/>
      <c r="X53" s="89"/>
    </row>
    <row r="54" spans="1:24" ht="13.5" thickBot="1" x14ac:dyDescent="0.25">
      <c r="A54" s="80"/>
      <c r="B54" s="74" t="s">
        <v>17</v>
      </c>
      <c r="C54" s="77" t="s">
        <v>16</v>
      </c>
      <c r="D54" s="76" t="s">
        <v>19</v>
      </c>
      <c r="E54" s="77" t="s">
        <v>22</v>
      </c>
      <c r="F54" s="76" t="s">
        <v>40</v>
      </c>
      <c r="G54" s="77" t="s">
        <v>43</v>
      </c>
      <c r="H54" s="76" t="s">
        <v>50</v>
      </c>
      <c r="I54" s="79" t="s">
        <v>55</v>
      </c>
      <c r="J54" s="74" t="s">
        <v>60</v>
      </c>
      <c r="K54" s="79" t="s">
        <v>63</v>
      </c>
      <c r="L54" s="78" t="s">
        <v>68</v>
      </c>
      <c r="M54" s="74" t="s">
        <v>70</v>
      </c>
      <c r="N54" s="74" t="s">
        <v>75</v>
      </c>
      <c r="O54" s="74" t="s">
        <v>79</v>
      </c>
      <c r="P54" s="74" t="s">
        <v>81</v>
      </c>
      <c r="Q54" s="74" t="s">
        <v>84</v>
      </c>
      <c r="R54" s="74" t="s">
        <v>87</v>
      </c>
      <c r="S54" s="96" t="s">
        <v>91</v>
      </c>
      <c r="T54" s="96" t="s">
        <v>95</v>
      </c>
      <c r="U54" s="96" t="s">
        <v>100</v>
      </c>
      <c r="V54" s="96" t="str">
        <f>V26</f>
        <v>2022/2023</v>
      </c>
      <c r="W54" s="96" t="str">
        <f>W26</f>
        <v>2023/2024</v>
      </c>
      <c r="X54" s="96" t="str">
        <f>X26</f>
        <v>2024/2025</v>
      </c>
    </row>
    <row r="55" spans="1:24" x14ac:dyDescent="0.2">
      <c r="A55" s="26" t="s">
        <v>108</v>
      </c>
      <c r="B55" s="36"/>
      <c r="C55" s="30"/>
      <c r="D55" s="65"/>
      <c r="E55" s="30"/>
      <c r="F55" s="36"/>
      <c r="G55" s="30"/>
      <c r="H55" s="36"/>
      <c r="I55" s="34"/>
      <c r="J55" s="36"/>
      <c r="K55" s="17"/>
      <c r="L55" s="71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>
        <f>529+470</f>
        <v>999</v>
      </c>
      <c r="X55" s="36"/>
    </row>
    <row r="56" spans="1:24" x14ac:dyDescent="0.2">
      <c r="A56" s="26" t="s">
        <v>92</v>
      </c>
      <c r="B56" s="36">
        <f>1492+164+249+155+153</f>
        <v>2213</v>
      </c>
      <c r="C56" s="30">
        <v>0</v>
      </c>
      <c r="D56" s="65">
        <v>68</v>
      </c>
      <c r="E56" s="30"/>
      <c r="F56" s="36">
        <f>169+169+460+585+573+480+829+820+321+170+247+325+713+890+188+35+35+220+148+495+850</f>
        <v>8722</v>
      </c>
      <c r="G56" s="30">
        <f>226+397+56+118+696+362+202+152+383+286+115+171+140+130+169+153+143+288+36+251+425+75+214</f>
        <v>5188</v>
      </c>
      <c r="H56" s="36">
        <f>306+591+478+485+291+245+318+431+228+317+229+100+1456+1105+708+240+133+200+261+206+177+192+32+147+61+58+219+62+156+152+122+30+32+32+203+193+31+173+54+97+31</f>
        <v>10582</v>
      </c>
      <c r="I56" s="34">
        <f>67+171+743+137+520+281+192+240+129+128+159+312+113+257+75+482+468+516+219+425+491+190+526+414+331+252+201+326+599+732+267+275+271+605+288+324+523+521+837+260+172+219+257+197+67+151+121+203+301</f>
        <v>15555</v>
      </c>
      <c r="J56" s="36">
        <f>35+69+183+106+309+71+137+178+108+36+140+211+105+44+35+102+34+34+170+722+894+1084+888+66+35+70+71+132+101+68+464+133+35+101+84+497+172+209+391+98+211+246+104+418</f>
        <v>9401</v>
      </c>
      <c r="K56" s="17">
        <f>414+1153+302+70+335+1295+122+228+317+263+33+549+570+539+660+674+424+841+909+641+592+564+613+961+724+815+562+661+1564+237+206+65+144+69+102+87+524+422+198+119+421+174+116+228+375+137</f>
        <v>21019</v>
      </c>
      <c r="L56" s="71">
        <f>65+34+1090+811+337+1056+293+627+1796+433+286+292+595+648+632+603+1065+1131+908+729+181+109+532+898+289+431+295+326+640+272+1198+283+313+186+126+294+634+330+184+80+484</f>
        <v>21516</v>
      </c>
      <c r="M56" s="36">
        <f>106+140+482+100+213+292+660+948+701+309+144+446+295+149+597+517+377+76+146+149+371+585+993+141+34+74+144+34+446+351+440+211+70+334+497+503+33+34</f>
        <v>12142</v>
      </c>
      <c r="N56" s="36">
        <f>70+31+39+436+104+68+105+34+103+90+100+135+494+456+392+246+1310+895+394+496+135+354+326+184+283+544+550+257+665+635+860+67+307+745+1632+901+227+294+327+435+111+322+36+312+217</f>
        <v>16724</v>
      </c>
      <c r="O56" s="36">
        <f>66+33+65+34+67+34+300+100+102+34+36+34+69+37</f>
        <v>1011</v>
      </c>
      <c r="P56" s="36">
        <f>69+104+71+668+280+33+1+65+186+34+251+400+168+66+66+67</f>
        <v>2529</v>
      </c>
      <c r="Q56" s="36">
        <f>72+33+101+486+655+921+825+669+38+445+667+854+484+407+369+816+743+1078+1117+34+129</f>
        <v>10943</v>
      </c>
      <c r="R56" s="36">
        <f>337+782+261+595+475+297+877+576+222</f>
        <v>4422</v>
      </c>
      <c r="S56" s="36">
        <f>50+3123+149+297+259+408+743+631+482+522+716+849+1380+541+226+111</f>
        <v>10487</v>
      </c>
      <c r="T56" s="36">
        <f>134+68+33+68+278+231+104+66+209+141+35+35+102+173+1+100+35+243+235+204+136+277+383+362+1397+112+696+378+622+448</f>
        <v>7306</v>
      </c>
      <c r="U56" s="36">
        <f>33+67+205+327+34</f>
        <v>666</v>
      </c>
      <c r="V56" s="36">
        <f>108+297+1069+594+474+442+188+35+35+34</f>
        <v>3276</v>
      </c>
      <c r="W56" s="36"/>
      <c r="X56" s="36"/>
    </row>
    <row r="57" spans="1:24" x14ac:dyDescent="0.2">
      <c r="A57" s="27" t="s">
        <v>14</v>
      </c>
      <c r="B57" s="33">
        <v>572</v>
      </c>
      <c r="C57" s="31">
        <f>396+437+484+132+968+1408+1050+530+676+528+88+528+220+88+264+44+484+132+528+528+132+616+88+440</f>
        <v>10789</v>
      </c>
      <c r="D57" s="50">
        <f>440+748+1276+528+660+616+176+572+572+132+88+616+792+572+484+616+572+792+792+700+2772</f>
        <v>14516</v>
      </c>
      <c r="E57" s="31">
        <f>528+704+528+528+528+572+616+484+396+615+660+880+484+528+308+924+704+176+440+528+704+792+964+352+1188+220+176+264+220+176</f>
        <v>16187</v>
      </c>
      <c r="F57" s="33">
        <f>440+220+271+660+33+8+729+308+660+264+440+467+660+220+1192+220+528+300+660+660+662+484+529+660+26+705+1149+530+750+528</f>
        <v>14963</v>
      </c>
      <c r="G57" s="31">
        <f>396+572+572+1654+150+756+528+974+440+1100+868+660+1542+2201+1716+660+352+528+704+264+1232+1232+704+528+308+308+40+616+532</f>
        <v>22137</v>
      </c>
      <c r="H57" s="33">
        <f>640+270+376+471+392+390+210+141+37+450+167+141+568+880+1489+767+440+528+1149+528+616+1362+792+220+1100+405+878+575+36+528+176+352+704+658+219+308+264</f>
        <v>19227</v>
      </c>
      <c r="I57" s="35">
        <f>425+642+678+389+673+621+388+348+411+581+308+98+176+172+531+656+264+100+1701+69+758+213+387+316+777+339+692+633+416+27+416+205+106+947+308+873+353+425</f>
        <v>17422</v>
      </c>
      <c r="J57" s="33">
        <f>205+1522+2237+1180+548+695+492+105+551+1207+464+358+382+254+399+388+175+132+519+339+456+213+104+54+39+289+210+349+142+282+420+102+311+808+173+384+1405+995+599+106+210</f>
        <v>19803</v>
      </c>
      <c r="K57" s="19">
        <f>1677+2244+803+386+344+790+753+464+497+1213+36+280+248+392+432+564+524+208+139+524+808+312+205+138+103+729+663+797+451+483+312+37+536+35+249+813+444+510+749+172</f>
        <v>21064</v>
      </c>
      <c r="L57" s="72">
        <f>440+856+687+290+355+617+293+473+943+293+511+840+367+511+657+538+540+602+538+901+414+566+635+630+726+636+627+656+547+253+1928+700+1279+988+511+288+108+177+107+1232+1188+62</f>
        <v>25510</v>
      </c>
      <c r="M57" s="33">
        <f>473+1150+734+510+1343+550+1559+323+692+284+1325+799+1036+741+776+873+798+545+547+512+1239+1377+1827+603+1205+435+607+438+472+774+843+816+514+475+330+1401+1375+977+513+791+277+715+888+717+668+714+213</f>
        <v>36774</v>
      </c>
      <c r="N57" s="33">
        <f>407+733+108+1058+221+179+689+362+892+255+293+541+1034+791+727+328+781+467+327+507+363+1088+693+70+286+770+685+326+477+580+108+696+619+733+836+325+1200+308+725+308+72+446</f>
        <v>22414</v>
      </c>
      <c r="O57" s="33">
        <f>1029+106+900+581+1384+363+212+672+470+36+880+264+103+635+105+70+351+36+67+962+440+572+255+704+440+110+73+259+478+308</f>
        <v>12865</v>
      </c>
      <c r="P57" s="33">
        <f>111+289+284+176+73+1+34+323+35+145+294+357+71+342+185+223+223+343+421+181+149+186+329+371+34+68+143+513+571+1052+74+520+222+404+48+567</f>
        <v>9362</v>
      </c>
      <c r="Q57" s="33">
        <f>686+109+217+291+185+298+334+37+334+148+34+616+1100+562+440+440+421+704+528+616+34+308+298+704+425+109+401+34+616+34+176+572+562</f>
        <v>12373</v>
      </c>
      <c r="R57" s="33">
        <f>412+521+335+567+114+758+616+616+616+152+223+228+440+616+616+616+616+383+440+616+249</f>
        <v>9750</v>
      </c>
      <c r="S57" s="33">
        <f>511+501+153+419+404+151+307+232+225+114+141+72+379+191+383+153+458+376+476+683+783+305+260+332+484+465+595+267+38+2268+107+1155+828+148+254+223</f>
        <v>14841</v>
      </c>
      <c r="T57" s="33">
        <f>577+913+487+150+374+528+374+418+417+228+191+39+302+332+631+374+226+336+230+187+277+709+2121+744+171+145+860+198+149+642+376+362+117+304+307</f>
        <v>14796</v>
      </c>
      <c r="U57" s="33">
        <f>1690+1006+1310+1766+2051+1704+1313+1030+1764+1322+725+323+1570+2031+1829+1828+1015+497+1508+834+1132+1877+2139+300+516+3116+1044+1080+333+401+180+1255+72+254+39+324+72+107+819+493+460+1185+304</f>
        <v>44618</v>
      </c>
      <c r="V57" s="33">
        <f>183+290+663+298+257+74+223+519+372+776+1115+1075+1659+518+171+408+368+398+76+513+582+643+878+2591+1441+883+661+460+529+229+342+379+453+189+521+992+1024+1753+1744</f>
        <v>26250</v>
      </c>
      <c r="W57" s="33">
        <f>677+30+188+337+307+381+477+260+761+485+490+38+262+77+232+36+376+114+189+225+265+147+147+192+592+1482+109+770+107+291+146+255+253+557</f>
        <v>11255</v>
      </c>
      <c r="X57" s="33">
        <f>221+258+400+519+851+110</f>
        <v>2359</v>
      </c>
    </row>
    <row r="58" spans="1:24" x14ac:dyDescent="0.2">
      <c r="A58" s="27" t="s">
        <v>13</v>
      </c>
      <c r="B58" s="33">
        <f>810+248+26</f>
        <v>1084</v>
      </c>
      <c r="C58" s="31">
        <f>1505+198+650+1652+42+3569+533+704+58+29+1666+3417+351+1144+30+1537+507+89+1063+58+926+138+103+117+1124+29</f>
        <v>21239</v>
      </c>
      <c r="D58" s="50">
        <f>126+1000+28+30+703+3353</f>
        <v>5240</v>
      </c>
      <c r="E58" s="31">
        <f>33+60+121+347+59+289</f>
        <v>909</v>
      </c>
      <c r="F58" s="33">
        <f>239+1224+418+2313+628+1497+3239+1226+836+484+944+1903+29+30+121+409</f>
        <v>15540</v>
      </c>
      <c r="G58" s="31">
        <f>13+616+318+1286+1014+220+607+226+1540+2777+836+1012</f>
        <v>10465</v>
      </c>
      <c r="H58" s="33">
        <f>187+756+1340+476+93+609+364+1110+225+1228+2162+354+1379+247+68+2008+438+1147+1308+586+809+398+68+924+1016+214+276+2116+610+882+35+694+481+140+1749+250+132+769+1232</f>
        <v>28880</v>
      </c>
      <c r="I58" s="35">
        <f>62+28+28+1024+807+320+56+56+920+380+260+1008+56+28+612+728+1376+1958+604+1061+862+514+200+298+296+420+422+392+1066+712+1758+3271+1211+880+55+28+28+34+620+540+364+660+64+128+183+1784+191+996+561</f>
        <v>29910</v>
      </c>
      <c r="J58" s="33">
        <f>48+700+28+28+28+28+28+28+56+168+84+56+28+28+88+516+427+322</f>
        <v>2689</v>
      </c>
      <c r="K58" s="19">
        <f>176+376+1326+1410+1540+1948+198+1314+1847+265+1408+748+1936+1848+2553+264+684+455+1652+245+528+1578+43+133+264+236+380+125+288+91+286</f>
        <v>26145</v>
      </c>
      <c r="L58" s="72">
        <f>2030+1066+762+2720+4766+5650+634+955+871+201+1726+5+1452+1285+1438+2463+2640+69+1649+4204+269+1466+2112+1926+1276+1173+2194+3116+3166+2420+1012+1080+2477+2+200+34+101+1584+2386+97+432</f>
        <v>65109</v>
      </c>
      <c r="M58" s="33">
        <f>34+3248+1161+2816+2508+484+2023+2383+398+1244+101+1387+757+673+522+1566+1104+1276+2101+263+2222+2587+1408+2597+2883+507+2024+1232+606+3124+3013+849+1427+35+528+2948+440+620+170+205+100+235+1110</f>
        <v>56919</v>
      </c>
      <c r="N58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8" s="33">
        <f>170+171+1113+1452+1598+1188+67+69+102+170+1013+340+1144+1100+792+880+528+208+308+572+704+346+1009+480+1420+497+545+103+205+1066+1859+1376+2331+939</f>
        <v>25865</v>
      </c>
      <c r="P58" s="33">
        <f>33+1913+752+68+168+68+102+272+237+34+101+231+68+66+34+287+376+1287+2132+2620+2649+2447+2200+5807+778+202+68+134+70</f>
        <v>25204</v>
      </c>
      <c r="Q58" s="33">
        <f>366+201+343+68+68+33+34+103+136+136+68+102+238+68+34+102+170+100</f>
        <v>2370</v>
      </c>
      <c r="R58" s="33">
        <f>68+34+33+558+2197+1504+4492+3669+4857+4657+2282+579+290+34+70+103+172+205+515+69+477+383</f>
        <v>27248</v>
      </c>
      <c r="S58" s="33">
        <f>727+670+557+34+68+70+69+1689+105+321+291+506+1542+451+210+737+415+377+245+488</f>
        <v>9572</v>
      </c>
      <c r="T58" s="33">
        <f>70+102+70+35+35+70+33+70+65+1+311+252+35+100+338+371+652+272+372+34+358+238+171+227+380+262+100+134</f>
        <v>5158</v>
      </c>
      <c r="U58" s="33">
        <f>1414+610+102+514+1392+1818+4597+2297+1728+4566+4172+2833+2266+2280+3943+1760+1979+1151+1576+2463+34+879+837+2074+1040+1997+1416+1231+100+35+68+34</f>
        <v>53206</v>
      </c>
      <c r="V58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8" s="33">
        <f>99+579+124+1272+662+1905+1589+1147+1618+1071+1382+1515+1630+1158+1881+2869+1349+747+1243+1461+963+941+2684+1503+1050+766+614+1586+2189+1153+807+35+176+286+285+558+1136+648+2360+1060+1720+1200+2132+2888+1682+2609+1538+715+750+89</f>
        <v>61424</v>
      </c>
      <c r="X58" s="33">
        <f>492+484+1363+944+840+374+543+576+103+934+756+382+274+526</f>
        <v>8591</v>
      </c>
    </row>
    <row r="59" spans="1:24" x14ac:dyDescent="0.2">
      <c r="A59" s="27" t="s">
        <v>11</v>
      </c>
      <c r="B59" s="33">
        <f>376+565+2816+1955+1180+425+398+304</f>
        <v>8019</v>
      </c>
      <c r="C59" s="31">
        <f>1144+748+704+1584+25+1811+599+325+866+638+995+528+748+176+144+1011+218+1320+352+263+1405+94+1447+77+2471+1996+28+165+625+358+500+1300+1233+293+351+308+1053</f>
        <v>27903</v>
      </c>
      <c r="D59" s="50">
        <f>704+1274+220+2212+1990+3520+1320+308+1188+799+710+616+836+1320+1248+261+366+300+576+156+1540+186+417+918+3824+825+269+321+720+17366</f>
        <v>46310</v>
      </c>
      <c r="E59" s="31">
        <f>308+748+880+924+44+303+1760+2200+924+3034+1056+616+440+440+1848+2200+456+528+484+1012</f>
        <v>20205</v>
      </c>
      <c r="F59" s="33">
        <f>88+88+58+2159+1346+171+500+317+1108+681+3472+1811+562+256+1394+1364+521+818+1346+2772+1466+1079+684+613+300+440+357+1588+1695+2200+1760+440+1781+880+396+1408+2113+11035+3054+1366+396+5919</f>
        <v>61802</v>
      </c>
      <c r="G59" s="31">
        <f>183+1270+403+1604+1954+1716+35+405+1321+2178+363+896+4702+1567+413+2883+1503+1144+1732+1336+1824+2882+4418+4108+5839+2057+8765+2728+1409+5111+200</f>
        <v>66949</v>
      </c>
      <c r="H59" s="33">
        <f>262+63+83+18+175+101+259+391+354+1067+1104+4510+3916+1324+1044+1054+54+440+880+132+1100+1716+968+1012+968+1365+1540+1629+2156+1760+2156+5060+396+1716</f>
        <v>40773</v>
      </c>
      <c r="I59" s="35">
        <f>70+168+2+116+631+152+128+92+250+887+890+792+503+2566+798+325+519+410+2389+690+1301+1797+940+210+1379+531+1981+465+2155+1086+928+900+174+258+695+2280+821+1888+474+6703+605+3233+548+1868+64+37+886+210+70+403</f>
        <v>47268</v>
      </c>
      <c r="J59" s="33">
        <f>49+440+307+213+330+33+786+1188+281+802+1510+201+235+243+881+1237+1226+317+1590+891+1724+819+257+1722+3082+3436+991+150+32+625</f>
        <v>25598</v>
      </c>
      <c r="K59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9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9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9" s="33">
        <f>206+200+654+1449+1698+1845+590+97+400+562+1801+3227+1159+528+4122+1451+948+312+433+166+70+22</f>
        <v>21940</v>
      </c>
      <c r="O59" s="33">
        <f>446+346+208+1012+1012+880+1100</f>
        <v>5004</v>
      </c>
      <c r="P59" s="33">
        <f>220+484+1406+968+29+63+308+484+1936+859+2904+1188+924+2332+1100+134+208+34+2217+528</f>
        <v>18326</v>
      </c>
      <c r="Q59" s="33">
        <f>79+173+260+37+176+1286+871+71+212+2728+101+924</f>
        <v>6918</v>
      </c>
      <c r="R59" s="33">
        <f>69+528+572+484+562+34+852+528+29+161+982+660+1921+1264+2068+880+1760+308</f>
        <v>13662</v>
      </c>
      <c r="S59" s="33">
        <f>153+479+633+351+384</f>
        <v>2000</v>
      </c>
      <c r="T59" s="33">
        <f>360+1320+220+617+440+440+2112+440+1422+1119+257</f>
        <v>8747</v>
      </c>
      <c r="U59" s="33">
        <f>523+671+749+862+795+789+75+34+781+496+174+1255+448+1033+702+2983+680+805+466+206+1500+2224+2917+1404+2643+1031+2207+1046+2318+2147+736+281+456+1458+34+69+106</f>
        <v>37104</v>
      </c>
      <c r="V59" s="33">
        <f>136+69+504+905+58+2332+1051+845+470+151+435+231+153+104+39+188+376+191+364+827+965+909+807+1449+458</f>
        <v>14017</v>
      </c>
      <c r="W59" s="33">
        <f>605+1006+784+762+608+144+978+2080+2645+3553+2165+2779+1497+3541+1857+1492+568+214+970+2327+1599+286+34+144</f>
        <v>32638</v>
      </c>
      <c r="X59" s="33">
        <f>413+1769+592+1247+852+918</f>
        <v>5791</v>
      </c>
    </row>
    <row r="60" spans="1:24" x14ac:dyDescent="0.2">
      <c r="A60" s="27" t="s">
        <v>10</v>
      </c>
      <c r="B60" s="33">
        <f>660+2273+1168+44+559+540+810+3063</f>
        <v>9117</v>
      </c>
      <c r="C60" s="31">
        <f>7+8+444+796+1503+8315+1260+1017+2787+4632+1094+4796+618+4824+3373+5979+2162+2733+2917+1191+970+442+1060+485+882+970+528+1343+176+44+618+1382+265+739+365+792+62+2211+750+352+308</f>
        <v>65200</v>
      </c>
      <c r="D60" s="50">
        <f>910+1331+308+1515+836+528+484+704+1003+2112+1549+352+1316+1433+660+24+3488+1016+1995+2951+1323+2720+1595+952+1938+621+2106+4373+2869+2430+3894+1852+12094</f>
        <v>63282</v>
      </c>
      <c r="E60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60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60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60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60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60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60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60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60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60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60" s="33">
        <f>453+204+1+30+100+34+136+140+205+100+100+34+92+367+167+236+68+342+347+141+213+238+486+512+245+69+240+486+68</f>
        <v>5854</v>
      </c>
      <c r="P60" s="33">
        <f>268+167+28+37+293+233+300+575+170+240+571+1278+2352+2790+3379+741+383+611+170+167+334+171+3+139+99+1207+27+370+753+235+308+612+102+55</f>
        <v>19168</v>
      </c>
      <c r="Q60" s="33">
        <f>143+1267+2075+1663+1044+733+281+25+379+1014+631+762+423+105+4+36+1+31+30+318+458+208+105+28+65+497+138+33+66+204+67</f>
        <v>12834</v>
      </c>
      <c r="R60" s="33">
        <f>142+71+245+68+789+229+711+779+960+743+204+239+1081+641+30+101+72+141+179+30+308+1451+2981+3392+2950+3571+2780+1522+459+778+789+140+265+29+30+30+854+239</f>
        <v>30023</v>
      </c>
      <c r="S60" s="33">
        <f>98+12+66+34+2+56+380+356+902+490+279+120+283+344+153+540+377+1+30+34+203+35+34+101</f>
        <v>4930</v>
      </c>
      <c r="T60" s="33">
        <f>575+691+635+293+3437+68+104+1224+288+309+250+35+71+384+805+2347+1768+1061+349+736+443+348+335+956+1399+1970+504+533+50+1632+1483+1396+834+1029+68+135</f>
        <v>28545</v>
      </c>
      <c r="U60" s="33">
        <f>1950+794+1467+1046+1264+1507+2006+1565+1693+1435+1742+765+1465+821+555+459+2955+519+564+692+1296+1151+1954+1457+1259+482+1128+1544+2470+1566+2526+2322+2898+1845+2267+2560+1646+1098+996+1008+529+204+71</f>
        <v>59541</v>
      </c>
      <c r="V60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60" s="33">
        <f>254+320+214+106+103+614+606+738+1115+1110+716+349+862+1060+648+654+715+2108+1532+1095+845+822+1241+1454+1536+1435+1817+1189+1272+2153+3236+3838+1850+664+35+179+677+522+69+203+140+412</f>
        <v>40508</v>
      </c>
      <c r="X60" s="33">
        <f>207+142+104+243+224+329+183+658+413</f>
        <v>2503</v>
      </c>
    </row>
    <row r="61" spans="1:24" x14ac:dyDescent="0.2">
      <c r="A61" s="27" t="s">
        <v>44</v>
      </c>
      <c r="B61" s="63"/>
      <c r="C61" s="64"/>
      <c r="D61" s="66"/>
      <c r="E61" s="64"/>
      <c r="F61" s="66"/>
      <c r="G61" s="67">
        <f>832+880</f>
        <v>1712</v>
      </c>
      <c r="H61" s="68"/>
      <c r="I61" s="69"/>
      <c r="J61" s="68"/>
      <c r="K61" s="70"/>
      <c r="L61" s="7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">
      <c r="A62" s="27" t="s">
        <v>53</v>
      </c>
      <c r="B62" s="33"/>
      <c r="C62" s="31"/>
      <c r="D62" s="50"/>
      <c r="E62" s="31"/>
      <c r="F62" s="51"/>
      <c r="G62" s="52"/>
      <c r="H62" s="51"/>
      <c r="I62" s="53"/>
      <c r="J62" s="51"/>
      <c r="K62" s="18"/>
      <c r="L62" s="7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x14ac:dyDescent="0.2">
      <c r="A63" s="27" t="s">
        <v>41</v>
      </c>
      <c r="B63" s="33"/>
      <c r="C63" s="31"/>
      <c r="D63" s="50"/>
      <c r="E63" s="31"/>
      <c r="F63" s="33">
        <f>252+449</f>
        <v>701</v>
      </c>
      <c r="G63" s="31"/>
      <c r="H63" s="33"/>
      <c r="I63" s="35"/>
      <c r="J63" s="33"/>
      <c r="K63" s="19"/>
      <c r="L63" s="7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x14ac:dyDescent="0.2">
      <c r="A64" s="27" t="s">
        <v>77</v>
      </c>
      <c r="B64" s="33"/>
      <c r="C64" s="31"/>
      <c r="D64" s="50"/>
      <c r="E64" s="31"/>
      <c r="F64" s="33"/>
      <c r="G64" s="31"/>
      <c r="H64" s="33"/>
      <c r="I64" s="35"/>
      <c r="J64" s="33"/>
      <c r="K64" s="19"/>
      <c r="L64" s="72"/>
      <c r="M64" s="33"/>
      <c r="N64" s="33">
        <f>950+580</f>
        <v>1530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x14ac:dyDescent="0.2">
      <c r="A65" s="27" t="s">
        <v>42</v>
      </c>
      <c r="B65" s="33"/>
      <c r="C65" s="31"/>
      <c r="D65" s="50"/>
      <c r="E65" s="31"/>
      <c r="F65" s="33">
        <f>68+69+33</f>
        <v>170</v>
      </c>
      <c r="G65" s="31">
        <f>250</f>
        <v>250</v>
      </c>
      <c r="H65" s="33">
        <f>688+306</f>
        <v>994</v>
      </c>
      <c r="I65" s="35"/>
      <c r="J65" s="33">
        <f>228+6</f>
        <v>234</v>
      </c>
      <c r="K65" s="19">
        <f>842+433+549+1140</f>
        <v>2964</v>
      </c>
      <c r="L65" s="72"/>
      <c r="M65" s="33"/>
      <c r="N65" s="33">
        <f>69+1078+978+865+104+56</f>
        <v>3150</v>
      </c>
      <c r="O65" s="33">
        <f>134+170+478+558+1150</f>
        <v>2490</v>
      </c>
      <c r="P65" s="33">
        <f>968+1012+1012</f>
        <v>2992</v>
      </c>
      <c r="Q65" s="33"/>
      <c r="R65" s="33">
        <f>250+349+343+652</f>
        <v>1594</v>
      </c>
      <c r="S65" s="33"/>
      <c r="T65" s="33">
        <f>1010</f>
        <v>1010</v>
      </c>
      <c r="U65" s="33"/>
      <c r="V65" s="33"/>
      <c r="W65" s="33"/>
      <c r="X65" s="33"/>
    </row>
    <row r="66" spans="1:24" x14ac:dyDescent="0.2">
      <c r="A66" s="27" t="s">
        <v>65</v>
      </c>
      <c r="B66" s="33"/>
      <c r="C66" s="31"/>
      <c r="D66" s="50"/>
      <c r="E66" s="31"/>
      <c r="F66" s="33"/>
      <c r="G66" s="31"/>
      <c r="H66" s="33"/>
      <c r="I66" s="35"/>
      <c r="J66" s="33"/>
      <c r="K66" s="19"/>
      <c r="L66" s="7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2">
      <c r="A67" s="27" t="s">
        <v>12</v>
      </c>
      <c r="B67" s="33">
        <f>925+1602+311+647+239+120+7</f>
        <v>3851</v>
      </c>
      <c r="C67" s="31">
        <f>859+1722+387+748+868+30+60+150</f>
        <v>4824</v>
      </c>
      <c r="D67" s="50">
        <f>1315+63+254+1994+507+1000</f>
        <v>5133</v>
      </c>
      <c r="E67" s="31">
        <f>116</f>
        <v>116</v>
      </c>
      <c r="F67" s="33">
        <f>239+337+2437+484+352+396+308+528+880+59+44+64+171+436</f>
        <v>6735</v>
      </c>
      <c r="G67" s="31">
        <f>528+440+660+396+660+880+793+660+440+1189+2101+44+1321+968+880+1320+440+704+1100</f>
        <v>15524</v>
      </c>
      <c r="H67" s="33">
        <f>265+265+664+656+3036+1862+2195+748+836+484+220+440</f>
        <v>11671</v>
      </c>
      <c r="I67" s="35"/>
      <c r="J67" s="33">
        <f>264+924+352+214+880+510+964+836+599+556+440+246+1361+468+880+444+572+1084+1144</f>
        <v>12738</v>
      </c>
      <c r="K67" s="19">
        <f>844+1012+1012+440+1144+880+50+1375+968+616+440+2103+1144+3475+236+468+1408+1980</f>
        <v>19595</v>
      </c>
      <c r="L67" s="72"/>
      <c r="M67" s="33"/>
      <c r="N67" s="33">
        <f>32+207+2092+1259+68+1291+2494+1096+860+863+1739+6037+2840+2320+3715+2547+520+1737+1330+1313+1906+1748+2075+1707+2464+1629+2902+2757</f>
        <v>51548</v>
      </c>
      <c r="O67" s="33">
        <f>67+33+65+71+33</f>
        <v>269</v>
      </c>
      <c r="P67" s="33">
        <f>880+1760+1760+2816+2992+2244+1100+1760</f>
        <v>15312</v>
      </c>
      <c r="Q67" s="33">
        <f>176+2068+880+1683+957+924+1760+1496+2419+1804+88+924+748+1056+1672+880+1674+1188+3608+2904+1188</f>
        <v>30097</v>
      </c>
      <c r="R67" s="33">
        <f>174+526+243+376+208+346+72+236+177+849+548+1259+423+307+1795+396+1672+880+1760+1232+312+3053+3520+880</f>
        <v>21244</v>
      </c>
      <c r="S67" s="33">
        <f>33+926+623+3148+1942+343+2879+1120+5142+880+4367+2425+647+2745+2431+3339+203+1760+1100+880+2640</f>
        <v>39573</v>
      </c>
      <c r="T67" s="33">
        <f>377+572+1276+147+669+172+1594+2003+529+2295+1707+3153+104+1762+1452+3476+314+880+1892+396</f>
        <v>24770</v>
      </c>
      <c r="U67" s="33">
        <f>4+2724+1320+3536+2382+2795+2166+2132+452+2198+543+2341+888+1371+1947+1013+1137+1624+577+1604+482+409+2588+315+484+483+837</f>
        <v>38352</v>
      </c>
      <c r="V67" s="33">
        <f>1419+103+483+2906+5157+3578+1205+4156+797+1844+2034+2827+3445+2258+1400+1484+413+522+440+527+617+1361+1908+1188+660+1783</f>
        <v>44515</v>
      </c>
      <c r="W67" s="33">
        <f>2636+5808+5575+1237+1811+3395+3810+1427+952+1470+1036+1199+1901+1061+1660+2945+2980+3637+3320+2906+4940+1819+1699+2381+1152+802+685+865+880</f>
        <v>65989</v>
      </c>
      <c r="X67" s="33">
        <f>618+373+547</f>
        <v>1538</v>
      </c>
    </row>
    <row r="68" spans="1:24" ht="13.5" thickBot="1" x14ac:dyDescent="0.25">
      <c r="A68" s="37"/>
      <c r="B68" s="40"/>
      <c r="C68" s="39">
        <v>7733</v>
      </c>
      <c r="D68" s="40">
        <f>1229</f>
        <v>1229</v>
      </c>
      <c r="E68" s="39"/>
      <c r="F68" s="40"/>
      <c r="G68" s="39"/>
      <c r="H68" s="40"/>
      <c r="I68" s="41"/>
      <c r="J68" s="40"/>
      <c r="K68" s="42"/>
      <c r="L68" s="73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3.5" thickBot="1" x14ac:dyDescent="0.25">
      <c r="A69" s="25" t="s">
        <v>32</v>
      </c>
      <c r="B69" s="44">
        <f>SUM(B57:B68)</f>
        <v>22643</v>
      </c>
      <c r="C69" s="43">
        <f>SUM(C57:C68)</f>
        <v>137688</v>
      </c>
      <c r="D69" s="44">
        <f>SUM(D57:D68)</f>
        <v>135710</v>
      </c>
      <c r="E69" s="43">
        <f>SUM(E57:E68)</f>
        <v>96488</v>
      </c>
      <c r="F69" s="44">
        <f>SUM(F57:F68)</f>
        <v>188504</v>
      </c>
      <c r="G69" s="43">
        <f t="shared" ref="G69:L69" si="2">SUM(G56:G68)</f>
        <v>211338</v>
      </c>
      <c r="H69" s="44">
        <f t="shared" si="2"/>
        <v>201754</v>
      </c>
      <c r="I69" s="48">
        <f t="shared" si="2"/>
        <v>208184</v>
      </c>
      <c r="J69" s="44">
        <f t="shared" si="2"/>
        <v>152324</v>
      </c>
      <c r="K69" s="49">
        <f t="shared" si="2"/>
        <v>269016</v>
      </c>
      <c r="L69" s="44">
        <f t="shared" si="2"/>
        <v>276210</v>
      </c>
      <c r="M69" s="44">
        <f t="shared" ref="M69:R69" si="3">SUM(M56:M68)</f>
        <v>253900</v>
      </c>
      <c r="N69" s="44">
        <f t="shared" si="3"/>
        <v>275093</v>
      </c>
      <c r="O69" s="44">
        <f t="shared" si="3"/>
        <v>53358</v>
      </c>
      <c r="P69" s="44">
        <f t="shared" si="3"/>
        <v>92893</v>
      </c>
      <c r="Q69" s="44">
        <f t="shared" si="3"/>
        <v>75535</v>
      </c>
      <c r="R69" s="44">
        <f t="shared" si="3"/>
        <v>107943</v>
      </c>
      <c r="S69" s="44">
        <f>SUM(S56:S68)</f>
        <v>81403</v>
      </c>
      <c r="T69" s="44">
        <f>SUM(T56:T68)</f>
        <v>90332</v>
      </c>
      <c r="U69" s="44">
        <f>SUM(U56:U68)</f>
        <v>233487</v>
      </c>
      <c r="V69" s="44">
        <f>SUM(V56:V68)</f>
        <v>254053</v>
      </c>
      <c r="W69" s="44">
        <f>SUM(W55:W68)</f>
        <v>212813</v>
      </c>
      <c r="X69" s="44">
        <f>SUM(X55:X68)</f>
        <v>20782</v>
      </c>
    </row>
    <row r="70" spans="1:24" x14ac:dyDescent="0.2">
      <c r="E70" s="23"/>
      <c r="F70" s="24"/>
      <c r="G70" s="24"/>
      <c r="H70" s="24"/>
      <c r="I70" s="24"/>
      <c r="J70" s="24"/>
      <c r="K70" s="6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x14ac:dyDescent="0.2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mergeCells count="3">
    <mergeCell ref="A53:K53"/>
    <mergeCell ref="B24:D24"/>
    <mergeCell ref="B25:K25"/>
  </mergeCells>
  <phoneticPr fontId="4" type="noConversion"/>
  <pageMargins left="0.25" right="0.22" top="0.74" bottom="1" header="0.25" footer="0.5"/>
  <pageSetup paperSize="9" scale="5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3"/>
  <sheetViews>
    <sheetView zoomScale="131" zoomScaleNormal="131" workbookViewId="0">
      <selection activeCell="E27" sqref="E27"/>
    </sheetView>
  </sheetViews>
  <sheetFormatPr defaultColWidth="8.85546875" defaultRowHeight="15" x14ac:dyDescent="0.25"/>
  <cols>
    <col min="1" max="1" width="20.42578125" style="114" customWidth="1"/>
    <col min="2" max="2" width="25.42578125" style="114" bestFit="1" customWidth="1"/>
    <col min="3" max="3" width="10.28515625" style="114" bestFit="1" customWidth="1"/>
    <col min="4" max="4" width="7.42578125" style="114" bestFit="1" customWidth="1"/>
    <col min="5" max="5" width="11.28515625" style="114" bestFit="1" customWidth="1"/>
    <col min="6" max="6" width="12.5703125" style="114" bestFit="1" customWidth="1"/>
    <col min="7" max="7" width="17.28515625" style="114" bestFit="1" customWidth="1"/>
    <col min="8" max="8" width="22.42578125" style="114" bestFit="1" customWidth="1"/>
    <col min="9" max="16384" width="8.85546875" style="114"/>
  </cols>
  <sheetData>
    <row r="1" spans="1:8" ht="15.75" x14ac:dyDescent="0.25">
      <c r="A1" s="126" t="s">
        <v>125</v>
      </c>
      <c r="B1" s="127"/>
      <c r="C1" s="127"/>
      <c r="D1" s="127"/>
      <c r="E1" s="127"/>
      <c r="F1" s="127"/>
      <c r="G1" s="127"/>
      <c r="H1" s="127"/>
    </row>
    <row r="2" spans="1:8" ht="15.75" x14ac:dyDescent="0.25">
      <c r="A2" s="126" t="s">
        <v>126</v>
      </c>
      <c r="B2" s="127"/>
      <c r="C2" s="127"/>
      <c r="D2" s="127"/>
      <c r="E2" s="127"/>
      <c r="F2" s="127"/>
      <c r="G2" s="127"/>
      <c r="H2" s="127"/>
    </row>
    <row r="3" spans="1:8" x14ac:dyDescent="0.25">
      <c r="A3" s="128"/>
      <c r="B3" s="129"/>
      <c r="C3" s="129"/>
      <c r="D3" s="129"/>
      <c r="E3" s="129"/>
      <c r="F3" s="129"/>
      <c r="G3" s="129"/>
      <c r="H3" s="129"/>
    </row>
    <row r="4" spans="1:8" x14ac:dyDescent="0.25">
      <c r="A4" s="115"/>
      <c r="B4" s="115" t="s">
        <v>20</v>
      </c>
      <c r="C4" s="115" t="s">
        <v>127</v>
      </c>
      <c r="D4" s="115" t="s">
        <v>128</v>
      </c>
      <c r="E4" s="115" t="s">
        <v>129</v>
      </c>
      <c r="F4" s="115" t="s">
        <v>130</v>
      </c>
      <c r="G4" s="115" t="s">
        <v>131</v>
      </c>
      <c r="H4" s="115" t="s">
        <v>132</v>
      </c>
    </row>
    <row r="5" spans="1:8" x14ac:dyDescent="0.25">
      <c r="A5" s="118">
        <v>1</v>
      </c>
      <c r="B5" s="118" t="s">
        <v>116</v>
      </c>
      <c r="C5" s="119">
        <v>0</v>
      </c>
      <c r="D5" s="116">
        <v>5296</v>
      </c>
      <c r="E5" s="119">
        <v>0</v>
      </c>
      <c r="F5" s="119">
        <v>0</v>
      </c>
      <c r="G5" s="117">
        <v>5296</v>
      </c>
      <c r="H5" s="117">
        <v>5296</v>
      </c>
    </row>
    <row r="6" spans="1:8" x14ac:dyDescent="0.25">
      <c r="A6" s="118">
        <v>2</v>
      </c>
      <c r="B6" s="118" t="s">
        <v>117</v>
      </c>
      <c r="C6" s="119">
        <v>0</v>
      </c>
      <c r="D6" s="116">
        <v>47861</v>
      </c>
      <c r="E6" s="116">
        <v>7119</v>
      </c>
      <c r="F6" s="119">
        <v>0</v>
      </c>
      <c r="G6" s="117">
        <v>54980</v>
      </c>
      <c r="H6" s="117">
        <v>60276</v>
      </c>
    </row>
    <row r="7" spans="1:8" x14ac:dyDescent="0.25">
      <c r="A7" s="118">
        <v>3</v>
      </c>
      <c r="B7" s="118" t="s">
        <v>118</v>
      </c>
      <c r="C7" s="116">
        <v>19966</v>
      </c>
      <c r="D7" s="116">
        <v>53946</v>
      </c>
      <c r="E7" s="119">
        <v>0</v>
      </c>
      <c r="F7" s="119">
        <v>0</v>
      </c>
      <c r="G7" s="117">
        <v>73912</v>
      </c>
      <c r="H7" s="117">
        <v>134188</v>
      </c>
    </row>
    <row r="8" spans="1:8" x14ac:dyDescent="0.25">
      <c r="A8" s="118">
        <v>4</v>
      </c>
      <c r="B8" s="118" t="s">
        <v>119</v>
      </c>
      <c r="C8" s="119">
        <v>0</v>
      </c>
      <c r="D8" s="116">
        <v>15515</v>
      </c>
      <c r="E8" s="119">
        <v>0</v>
      </c>
      <c r="F8" s="116">
        <v>3151</v>
      </c>
      <c r="G8" s="117">
        <v>18666</v>
      </c>
      <c r="H8" s="117">
        <v>152854</v>
      </c>
    </row>
    <row r="9" spans="1:8" x14ac:dyDescent="0.25">
      <c r="A9" s="118">
        <v>5</v>
      </c>
      <c r="B9" s="118" t="s">
        <v>120</v>
      </c>
      <c r="C9" s="119">
        <v>0</v>
      </c>
      <c r="D9" s="116">
        <v>44082</v>
      </c>
      <c r="E9" s="119">
        <v>0</v>
      </c>
      <c r="F9" s="116">
        <v>4866</v>
      </c>
      <c r="G9" s="117">
        <v>48948</v>
      </c>
      <c r="H9" s="117">
        <v>201802</v>
      </c>
    </row>
    <row r="10" spans="1:8" x14ac:dyDescent="0.25">
      <c r="A10" s="118">
        <v>6</v>
      </c>
      <c r="B10" s="118" t="s">
        <v>121</v>
      </c>
      <c r="C10" s="116">
        <v>5001</v>
      </c>
      <c r="D10" s="116">
        <v>50489</v>
      </c>
      <c r="E10" s="119">
        <v>0</v>
      </c>
      <c r="F10" s="119">
        <v>0</v>
      </c>
      <c r="G10" s="117">
        <v>55490</v>
      </c>
      <c r="H10" s="117">
        <v>257292</v>
      </c>
    </row>
    <row r="11" spans="1:8" x14ac:dyDescent="0.25">
      <c r="A11" s="118">
        <v>7</v>
      </c>
      <c r="B11" s="118" t="s">
        <v>122</v>
      </c>
      <c r="C11" s="119">
        <v>0</v>
      </c>
      <c r="D11" s="116">
        <v>50066</v>
      </c>
      <c r="E11" s="119">
        <v>0</v>
      </c>
      <c r="F11" s="119">
        <v>0</v>
      </c>
      <c r="G11" s="117">
        <v>50066</v>
      </c>
      <c r="H11" s="117">
        <v>307358</v>
      </c>
    </row>
    <row r="12" spans="1:8" x14ac:dyDescent="0.25">
      <c r="A12" s="118">
        <v>8</v>
      </c>
      <c r="B12" s="118" t="s">
        <v>123</v>
      </c>
      <c r="C12" s="119">
        <v>0</v>
      </c>
      <c r="D12" s="116">
        <v>19726</v>
      </c>
      <c r="E12" s="119">
        <v>0</v>
      </c>
      <c r="F12" s="119">
        <v>0</v>
      </c>
      <c r="G12" s="117">
        <v>19726</v>
      </c>
      <c r="H12" s="117">
        <v>327084</v>
      </c>
    </row>
    <row r="13" spans="1:8" x14ac:dyDescent="0.25">
      <c r="A13" s="118">
        <v>9</v>
      </c>
      <c r="B13" s="118" t="s">
        <v>124</v>
      </c>
      <c r="C13" s="119">
        <v>0</v>
      </c>
      <c r="D13" s="116">
        <v>31892</v>
      </c>
      <c r="E13" s="119">
        <v>0</v>
      </c>
      <c r="F13" s="119">
        <v>0</v>
      </c>
      <c r="G13" s="117">
        <v>31892</v>
      </c>
      <c r="H13" s="117">
        <v>358976</v>
      </c>
    </row>
    <row r="14" spans="1:8" x14ac:dyDescent="0.25">
      <c r="A14" s="118">
        <v>10</v>
      </c>
      <c r="B14" s="118" t="s">
        <v>133</v>
      </c>
      <c r="C14" s="119">
        <v>0</v>
      </c>
      <c r="D14" s="116">
        <v>46820</v>
      </c>
      <c r="E14" s="119">
        <v>0</v>
      </c>
      <c r="F14" s="119">
        <v>0</v>
      </c>
      <c r="G14" s="117">
        <v>46820</v>
      </c>
      <c r="H14" s="117">
        <v>405796</v>
      </c>
    </row>
    <row r="15" spans="1:8" x14ac:dyDescent="0.25">
      <c r="A15" s="118">
        <v>11</v>
      </c>
      <c r="B15" s="118" t="s">
        <v>134</v>
      </c>
      <c r="C15" s="119">
        <v>0</v>
      </c>
      <c r="D15" s="116">
        <v>57814</v>
      </c>
      <c r="E15" s="119">
        <v>0</v>
      </c>
      <c r="F15" s="119">
        <v>0</v>
      </c>
      <c r="G15" s="117">
        <v>57814</v>
      </c>
      <c r="H15" s="117">
        <v>463610</v>
      </c>
    </row>
    <row r="16" spans="1:8" x14ac:dyDescent="0.25">
      <c r="A16" s="118">
        <v>12</v>
      </c>
      <c r="B16" s="118" t="s">
        <v>135</v>
      </c>
      <c r="C16" s="119">
        <v>0</v>
      </c>
      <c r="D16" s="116">
        <v>28964</v>
      </c>
      <c r="E16" s="119">
        <v>0</v>
      </c>
      <c r="F16" s="119">
        <v>0</v>
      </c>
      <c r="G16" s="117">
        <v>28964</v>
      </c>
      <c r="H16" s="117">
        <v>492574</v>
      </c>
    </row>
    <row r="17" spans="1:8" x14ac:dyDescent="0.25">
      <c r="A17" s="118">
        <v>13</v>
      </c>
      <c r="B17" s="118" t="s">
        <v>136</v>
      </c>
      <c r="C17" s="119">
        <v>0</v>
      </c>
      <c r="D17" s="119">
        <v>0</v>
      </c>
      <c r="E17" s="119">
        <v>0</v>
      </c>
      <c r="F17" s="119">
        <v>0</v>
      </c>
      <c r="G17" s="118">
        <v>0</v>
      </c>
      <c r="H17" s="117">
        <v>492574</v>
      </c>
    </row>
    <row r="18" spans="1:8" x14ac:dyDescent="0.25">
      <c r="A18" s="118">
        <v>14</v>
      </c>
      <c r="B18" s="118" t="s">
        <v>137</v>
      </c>
      <c r="C18" s="119">
        <v>0</v>
      </c>
      <c r="D18" s="119">
        <v>0</v>
      </c>
      <c r="E18" s="119">
        <v>0</v>
      </c>
      <c r="F18" s="119">
        <v>0</v>
      </c>
      <c r="G18" s="118">
        <v>0</v>
      </c>
      <c r="H18" s="117">
        <v>492574</v>
      </c>
    </row>
    <row r="19" spans="1:8" x14ac:dyDescent="0.25">
      <c r="A19" s="118">
        <v>15</v>
      </c>
      <c r="B19" s="118" t="s">
        <v>138</v>
      </c>
      <c r="C19" s="119">
        <v>0</v>
      </c>
      <c r="D19" s="119">
        <v>0</v>
      </c>
      <c r="E19" s="119">
        <v>0</v>
      </c>
      <c r="F19" s="119">
        <v>0</v>
      </c>
      <c r="G19" s="118">
        <v>0</v>
      </c>
      <c r="H19" s="117">
        <v>492574</v>
      </c>
    </row>
    <row r="20" spans="1:8" x14ac:dyDescent="0.25">
      <c r="A20" s="118"/>
      <c r="B20" s="118" t="s">
        <v>111</v>
      </c>
      <c r="C20" s="117">
        <v>24967</v>
      </c>
      <c r="D20" s="117">
        <v>452471</v>
      </c>
      <c r="E20" s="117">
        <v>7119</v>
      </c>
      <c r="F20" s="117">
        <v>8017</v>
      </c>
      <c r="G20" s="117">
        <v>492574</v>
      </c>
      <c r="H20" s="118"/>
    </row>
    <row r="22" spans="1:8" x14ac:dyDescent="0.25">
      <c r="A22" s="114" t="s">
        <v>109</v>
      </c>
    </row>
    <row r="23" spans="1:8" x14ac:dyDescent="0.25">
      <c r="A23" s="114" t="s">
        <v>110</v>
      </c>
    </row>
  </sheetData>
  <mergeCells count="3">
    <mergeCell ref="A2:H2"/>
    <mergeCell ref="A3:H3"/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57AB000-C37D-4249-B2AB-A877D85B5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4</vt:i4>
      </vt:variant>
    </vt:vector>
  </HeadingPairs>
  <TitlesOfParts>
    <vt:vector size="14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Data 2024_25</vt:lpstr>
      <vt:lpstr>Land-Country data</vt:lpstr>
      <vt:lpstr>Import per harbour</vt:lpstr>
      <vt:lpstr>Invoere 4jr vgl</vt:lpstr>
      <vt:lpstr>Invoere 2024_25</vt:lpstr>
      <vt:lpstr>Uitvoere 2024_25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2025-01-16T10:56:57Z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