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E903B89B-CC99-4627-9420-605BC806A774}" xr6:coauthVersionLast="47" xr6:coauthVersionMax="47" xr10:uidLastSave="{00000000-0000-0000-0000-000000000000}"/>
  <bookViews>
    <workbookView xWindow="-28920" yWindow="-120" windowWidth="29040" windowHeight="15720" tabRatio="889" firstSheet="5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2" r:id="rId10"/>
    <sheet name="Weekliks-Weekly" sheetId="33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bestem.'!$A$1:$T$95</definedName>
    <definedName name="_xlnm.Print_Area" localSheetId="8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5" i="9" l="1"/>
  <c r="O89" i="9"/>
  <c r="O86" i="9"/>
  <c r="O61" i="9"/>
  <c r="O60" i="9"/>
  <c r="O59" i="9"/>
  <c r="O58" i="9"/>
  <c r="O57" i="9"/>
  <c r="P53" i="9"/>
  <c r="O14" i="9"/>
  <c r="O13" i="9"/>
  <c r="O12" i="9"/>
  <c r="O11" i="9"/>
  <c r="O10" i="9"/>
  <c r="O9" i="9"/>
  <c r="G6" i="9"/>
  <c r="G5" i="9"/>
  <c r="B20" i="8"/>
  <c r="B16" i="8"/>
  <c r="B12" i="8"/>
  <c r="B4" i="8"/>
  <c r="N57" i="9" l="1"/>
  <c r="C4" i="9"/>
  <c r="B17" i="8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M30" i="32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N9" i="32"/>
  <c r="M9" i="32"/>
  <c r="N27" i="33" l="1"/>
  <c r="N28" i="33" s="1"/>
  <c r="V11" i="33"/>
  <c r="M12" i="33"/>
  <c r="M54" i="32"/>
  <c r="M55" i="32" s="1"/>
  <c r="N64" i="9"/>
  <c r="N83" i="9"/>
  <c r="N79" i="9"/>
  <c r="N73" i="9"/>
  <c r="N26" i="9"/>
  <c r="N29" i="33" l="1"/>
  <c r="N30" i="33" s="1"/>
  <c r="N31" i="33" s="1"/>
  <c r="N32" i="33" s="1"/>
  <c r="V12" i="33"/>
  <c r="M13" i="33"/>
  <c r="M56" i="32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10" i="32"/>
  <c r="M10" i="32"/>
  <c r="M11" i="32" s="1"/>
  <c r="M12" i="32" s="1"/>
  <c r="M13" i="32" s="1"/>
  <c r="J9" i="32"/>
  <c r="I9" i="32"/>
  <c r="F9" i="32"/>
  <c r="E9" i="32"/>
  <c r="U9" i="32" s="1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3" i="9"/>
  <c r="M65" i="9"/>
  <c r="M93" i="9"/>
  <c r="M44" i="9"/>
  <c r="M33" i="9"/>
  <c r="N37" i="33" l="1"/>
  <c r="N38" i="33" s="1"/>
  <c r="N39" i="33" s="1"/>
  <c r="V15" i="33"/>
  <c r="M16" i="33"/>
  <c r="N53" i="9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3" i="9"/>
  <c r="N40" i="33" l="1"/>
  <c r="N41" i="33" s="1"/>
  <c r="N42" i="33" s="1"/>
  <c r="N43" i="33" s="1"/>
  <c r="N44" i="33" s="1"/>
  <c r="V16" i="33"/>
  <c r="M17" i="33"/>
  <c r="N19" i="32"/>
  <c r="V12" i="32"/>
  <c r="V13" i="32"/>
  <c r="V11" i="32"/>
  <c r="M15" i="32"/>
  <c r="V14" i="32"/>
  <c r="N45" i="33" l="1"/>
  <c r="N46" i="33" s="1"/>
  <c r="M18" i="33"/>
  <c r="V17" i="33"/>
  <c r="N20" i="32"/>
  <c r="N21" i="32" s="1"/>
  <c r="M16" i="32"/>
  <c r="V15" i="32"/>
  <c r="M95" i="9"/>
  <c r="L93" i="9"/>
  <c r="L65" i="9"/>
  <c r="L62" i="9"/>
  <c r="L61" i="9"/>
  <c r="S8" i="9" s="1"/>
  <c r="L60" i="9"/>
  <c r="S10" i="9" s="1"/>
  <c r="L59" i="9"/>
  <c r="L58" i="9"/>
  <c r="L57" i="9"/>
  <c r="S9" i="9" s="1"/>
  <c r="L35" i="9"/>
  <c r="R18" i="9" s="1"/>
  <c r="L16" i="9"/>
  <c r="L14" i="9"/>
  <c r="R8" i="9" s="1"/>
  <c r="L13" i="9"/>
  <c r="R10" i="9" s="1"/>
  <c r="L11" i="9"/>
  <c r="L10" i="9"/>
  <c r="R9" i="9" s="1"/>
  <c r="L9" i="9"/>
  <c r="R11" i="9" s="1"/>
  <c r="R35" i="9"/>
  <c r="S55" i="9" s="1"/>
  <c r="S11" i="9"/>
  <c r="L73" i="9"/>
  <c r="L63" i="9"/>
  <c r="B13" i="8"/>
  <c r="L83" i="9"/>
  <c r="I63" i="9"/>
  <c r="K63" i="9"/>
  <c r="L87" i="9"/>
  <c r="L70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G2" i="30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T64" i="9"/>
  <c r="S64" i="9"/>
  <c r="R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N47" i="33" l="1"/>
  <c r="N48" i="33" s="1"/>
  <c r="N49" i="33" s="1"/>
  <c r="N50" i="33" s="1"/>
  <c r="V18" i="33"/>
  <c r="M19" i="33"/>
  <c r="N22" i="32"/>
  <c r="N23" i="32" s="1"/>
  <c r="N24" i="32" s="1"/>
  <c r="M17" i="32"/>
  <c r="V16" i="32"/>
  <c r="K53" i="9"/>
  <c r="C95" i="9"/>
  <c r="D53" i="9"/>
  <c r="I95" i="9"/>
  <c r="J95" i="9"/>
  <c r="I53" i="9"/>
  <c r="G95" i="9"/>
  <c r="J53" i="9"/>
  <c r="G53" i="9"/>
  <c r="H53" i="9"/>
  <c r="T33" i="9" s="1"/>
  <c r="T34" i="9" s="1"/>
  <c r="B96" i="9"/>
  <c r="D95" i="9"/>
  <c r="F53" i="9"/>
  <c r="F95" i="9"/>
  <c r="T53" i="9" s="1"/>
  <c r="T54" i="9" s="1"/>
  <c r="H95" i="9"/>
  <c r="S53" i="9" s="1"/>
  <c r="S54" i="9" s="1"/>
  <c r="S56" i="9" s="1"/>
  <c r="K95" i="9"/>
  <c r="C53" i="9"/>
  <c r="E53" i="9"/>
  <c r="E96" i="9" s="1"/>
  <c r="S33" i="9"/>
  <c r="S34" i="9" s="1"/>
  <c r="N3" i="30"/>
  <c r="N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T9" i="9"/>
  <c r="E17" i="8"/>
  <c r="E16" i="8"/>
  <c r="E9" i="8"/>
  <c r="R17" i="9"/>
  <c r="R19" i="9" s="1"/>
  <c r="T67" i="9"/>
  <c r="S18" i="9"/>
  <c r="T18" i="9" s="1"/>
  <c r="T35" i="9"/>
  <c r="S67" i="9"/>
  <c r="T55" i="9"/>
  <c r="R55" i="9"/>
  <c r="B25" i="8"/>
  <c r="E8" i="8"/>
  <c r="T8" i="9"/>
  <c r="S12" i="9"/>
  <c r="T11" i="9"/>
  <c r="S17" i="9"/>
  <c r="L95" i="9"/>
  <c r="L53" i="9"/>
  <c r="T10" i="9"/>
  <c r="R12" i="9"/>
  <c r="R67" i="9"/>
  <c r="S35" i="9"/>
  <c r="N51" i="33" l="1"/>
  <c r="N52" i="33" s="1"/>
  <c r="N53" i="33" s="1"/>
  <c r="N54" i="33" s="1"/>
  <c r="N55" i="33" s="1"/>
  <c r="N56" i="33" s="1"/>
  <c r="N57" i="33" s="1"/>
  <c r="N58" i="33" s="1"/>
  <c r="N59" i="33" s="1"/>
  <c r="N60" i="33" s="1"/>
  <c r="N61" i="33" s="1"/>
  <c r="R53" i="9"/>
  <c r="R54" i="9" s="1"/>
  <c r="R26" i="9"/>
  <c r="R27" i="9" s="1"/>
  <c r="S26" i="9"/>
  <c r="S27" i="9" s="1"/>
  <c r="R33" i="9"/>
  <c r="R34" i="9" s="1"/>
  <c r="R36" i="9" s="1"/>
  <c r="V19" i="33"/>
  <c r="M20" i="33"/>
  <c r="D96" i="9"/>
  <c r="K96" i="9"/>
  <c r="N25" i="32"/>
  <c r="N26" i="32" s="1"/>
  <c r="R65" i="9"/>
  <c r="R66" i="9" s="1"/>
  <c r="R68" i="9" s="1"/>
  <c r="I96" i="9"/>
  <c r="T36" i="9"/>
  <c r="C96" i="9"/>
  <c r="J96" i="9"/>
  <c r="V17" i="32"/>
  <c r="M18" i="32"/>
  <c r="G96" i="9"/>
  <c r="F96" i="9"/>
  <c r="T56" i="9"/>
  <c r="H96" i="9"/>
  <c r="T26" i="9" s="1"/>
  <c r="S36" i="9"/>
  <c r="E10" i="8"/>
  <c r="R56" i="9"/>
  <c r="V3" i="30"/>
  <c r="N5" i="30"/>
  <c r="V4" i="30"/>
  <c r="E18" i="8"/>
  <c r="S19" i="9"/>
  <c r="T19" i="9" s="1"/>
  <c r="T17" i="9"/>
  <c r="T12" i="9"/>
  <c r="T27" i="9" l="1"/>
  <c r="V20" i="33"/>
  <c r="M21" i="33"/>
  <c r="S65" i="9"/>
  <c r="S66" i="9" s="1"/>
  <c r="S68" i="9" s="1"/>
  <c r="N27" i="32"/>
  <c r="N28" i="32" s="1"/>
  <c r="N29" i="32" s="1"/>
  <c r="N30" i="32" s="1"/>
  <c r="V18" i="32"/>
  <c r="M19" i="32"/>
  <c r="T65" i="9"/>
  <c r="T66" i="9" s="1"/>
  <c r="T68" i="9" s="1"/>
  <c r="N6" i="30"/>
  <c r="V5" i="30"/>
  <c r="V21" i="33" l="1"/>
  <c r="M22" i="33"/>
  <c r="N31" i="32"/>
  <c r="N32" i="32" s="1"/>
  <c r="N33" i="32" s="1"/>
  <c r="N34" i="32" s="1"/>
  <c r="N35" i="32" s="1"/>
  <c r="M20" i="32"/>
  <c r="V19" i="32"/>
  <c r="V6" i="30"/>
  <c r="N7" i="30"/>
  <c r="V22" i="33" l="1"/>
  <c r="M23" i="33"/>
  <c r="N36" i="32"/>
  <c r="N37" i="32" s="1"/>
  <c r="N38" i="32" s="1"/>
  <c r="N39" i="32" s="1"/>
  <c r="N40" i="32" s="1"/>
  <c r="N41" i="32" s="1"/>
  <c r="N42" i="32" s="1"/>
  <c r="N43" i="32" s="1"/>
  <c r="N44" i="32" s="1"/>
  <c r="M21" i="32"/>
  <c r="V20" i="32"/>
  <c r="N8" i="30"/>
  <c r="V7" i="30"/>
  <c r="V23" i="33" l="1"/>
  <c r="M24" i="33"/>
  <c r="N45" i="32"/>
  <c r="M22" i="32"/>
  <c r="V21" i="32"/>
  <c r="V8" i="30"/>
  <c r="N9" i="30"/>
  <c r="V24" i="33" l="1"/>
  <c r="M25" i="33"/>
  <c r="N46" i="32"/>
  <c r="V22" i="32"/>
  <c r="M23" i="32"/>
  <c r="N10" i="30"/>
  <c r="V9" i="30"/>
  <c r="V25" i="33" l="1"/>
  <c r="M26" i="33"/>
  <c r="N47" i="32"/>
  <c r="M24" i="32"/>
  <c r="V23" i="32"/>
  <c r="N11" i="30"/>
  <c r="V10" i="30"/>
  <c r="V26" i="33" l="1"/>
  <c r="M27" i="33"/>
  <c r="N48" i="32"/>
  <c r="N49" i="32" s="1"/>
  <c r="N50" i="32" s="1"/>
  <c r="M25" i="32"/>
  <c r="V24" i="32"/>
  <c r="V11" i="30"/>
  <c r="N12" i="30"/>
  <c r="V27" i="33" l="1"/>
  <c r="M28" i="33"/>
  <c r="N51" i="32"/>
  <c r="N52" i="32" s="1"/>
  <c r="N53" i="32" s="1"/>
  <c r="V25" i="32"/>
  <c r="M26" i="32"/>
  <c r="V12" i="30"/>
  <c r="N13" i="30"/>
  <c r="M29" i="33" l="1"/>
  <c r="V28" i="33"/>
  <c r="N54" i="32"/>
  <c r="N55" i="32" s="1"/>
  <c r="N56" i="32" s="1"/>
  <c r="N57" i="32" s="1"/>
  <c r="N58" i="32" s="1"/>
  <c r="V26" i="32"/>
  <c r="M27" i="32"/>
  <c r="N14" i="30"/>
  <c r="V13" i="30"/>
  <c r="M30" i="33" l="1"/>
  <c r="V29" i="33"/>
  <c r="N59" i="32"/>
  <c r="N60" i="32" s="1"/>
  <c r="N61" i="32" s="1"/>
  <c r="M28" i="32"/>
  <c r="V27" i="32"/>
  <c r="V14" i="30"/>
  <c r="N15" i="30"/>
  <c r="V30" i="33" l="1"/>
  <c r="M31" i="33"/>
  <c r="V28" i="32"/>
  <c r="M29" i="32"/>
  <c r="V15" i="30"/>
  <c r="N16" i="30"/>
  <c r="M32" i="33" l="1"/>
  <c r="V31" i="33"/>
  <c r="V29" i="32"/>
  <c r="V16" i="30"/>
  <c r="N17" i="30"/>
  <c r="V32" i="33" l="1"/>
  <c r="M33" i="33"/>
  <c r="V30" i="32"/>
  <c r="N18" i="30"/>
  <c r="V17" i="30"/>
  <c r="M34" i="33" l="1"/>
  <c r="V33" i="33"/>
  <c r="V31" i="32"/>
  <c r="V18" i="30"/>
  <c r="N19" i="30"/>
  <c r="V34" i="33" l="1"/>
  <c r="M35" i="33"/>
  <c r="V32" i="32"/>
  <c r="V19" i="30"/>
  <c r="N20" i="30"/>
  <c r="M36" i="33" l="1"/>
  <c r="V35" i="33"/>
  <c r="V33" i="32"/>
  <c r="V20" i="30"/>
  <c r="N21" i="30"/>
  <c r="V36" i="33" l="1"/>
  <c r="M37" i="33"/>
  <c r="V34" i="32"/>
  <c r="N22" i="30"/>
  <c r="V21" i="30"/>
  <c r="M38" i="33" l="1"/>
  <c r="V37" i="33"/>
  <c r="V35" i="32"/>
  <c r="V22" i="30"/>
  <c r="N23" i="30"/>
  <c r="V38" i="33" l="1"/>
  <c r="M39" i="33"/>
  <c r="V36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M40" i="33" l="1"/>
  <c r="V39" i="33"/>
  <c r="V37" i="32"/>
  <c r="V40" i="33" l="1"/>
  <c r="M41" i="33"/>
  <c r="V38" i="32"/>
  <c r="M42" i="33" l="1"/>
  <c r="V41" i="33"/>
  <c r="V39" i="32"/>
  <c r="V42" i="33" l="1"/>
  <c r="M43" i="33"/>
  <c r="V40" i="32"/>
  <c r="M44" i="33" l="1"/>
  <c r="V43" i="33"/>
  <c r="V41" i="32"/>
  <c r="V44" i="33" l="1"/>
  <c r="M45" i="33"/>
  <c r="V42" i="32"/>
  <c r="M46" i="33" l="1"/>
  <c r="V45" i="33"/>
  <c r="V43" i="32"/>
  <c r="V46" i="33" l="1"/>
  <c r="M47" i="33"/>
  <c r="V44" i="32"/>
  <c r="M48" i="33" l="1"/>
  <c r="V47" i="33"/>
  <c r="V45" i="32"/>
  <c r="V48" i="33" l="1"/>
  <c r="M49" i="33"/>
  <c r="V46" i="32"/>
  <c r="M50" i="33" l="1"/>
  <c r="V49" i="33"/>
  <c r="V47" i="32"/>
  <c r="V50" i="33" l="1"/>
  <c r="M51" i="33"/>
  <c r="V48" i="32"/>
  <c r="M52" i="33" l="1"/>
  <c r="V51" i="33"/>
  <c r="V49" i="32"/>
  <c r="V52" i="33" l="1"/>
  <c r="M53" i="33"/>
  <c r="V50" i="32"/>
  <c r="M54" i="33" l="1"/>
  <c r="V53" i="33"/>
  <c r="V51" i="32"/>
  <c r="V54" i="33" l="1"/>
  <c r="M55" i="33"/>
  <c r="V52" i="32"/>
  <c r="M56" i="33" l="1"/>
  <c r="V55" i="33"/>
  <c r="V53" i="32"/>
  <c r="V56" i="33" l="1"/>
  <c r="M57" i="33"/>
  <c r="V54" i="32"/>
  <c r="M58" i="33" l="1"/>
  <c r="V57" i="33"/>
  <c r="V55" i="32"/>
  <c r="V58" i="33" l="1"/>
  <c r="M59" i="33"/>
  <c r="V56" i="32"/>
  <c r="M57" i="32"/>
  <c r="M60" i="33" l="1"/>
  <c r="V59" i="33"/>
  <c r="M58" i="32"/>
  <c r="V57" i="32"/>
  <c r="V60" i="33" l="1"/>
  <c r="M61" i="33"/>
  <c r="V61" i="33" s="1"/>
  <c r="V58" i="32"/>
  <c r="M59" i="32"/>
  <c r="V59" i="32" l="1"/>
  <c r="M60" i="32"/>
  <c r="V60" i="32" l="1"/>
  <c r="M61" i="32"/>
  <c r="V61" i="32" s="1"/>
</calcChain>
</file>

<file path=xl/sharedStrings.xml><?xml version="1.0" encoding="utf-8"?>
<sst xmlns="http://schemas.openxmlformats.org/spreadsheetml/2006/main" count="740" uniqueCount="271">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</sst>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  <numFmt numFmtId="170" formatCode="0.000"/>
    <numFmt numFmtId="171" formatCode="#,##0.000"/>
    <numFmt numFmtId="172" formatCode="0.000_ ;[Red]\-0.000\ 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70" fontId="4" fillId="0" borderId="0" xfId="0" applyNumberFormat="1" applyFont="1"/>
    <xf numFmtId="170" fontId="6" fillId="0" borderId="2" xfId="0" applyNumberFormat="1" applyFont="1" applyBorder="1"/>
    <xf numFmtId="170" fontId="6" fillId="0" borderId="2" xfId="0" applyNumberFormat="1" applyFont="1" applyBorder="1" applyAlignment="1">
      <alignment horizontal="center"/>
    </xf>
    <xf numFmtId="170" fontId="6" fillId="0" borderId="0" xfId="1" applyNumberFormat="1" applyFont="1" applyBorder="1"/>
    <xf numFmtId="170" fontId="6" fillId="0" borderId="24" xfId="1" applyNumberFormat="1" applyFont="1" applyBorder="1"/>
    <xf numFmtId="170" fontId="6" fillId="0" borderId="21" xfId="1" applyNumberFormat="1" applyFont="1" applyBorder="1"/>
    <xf numFmtId="170" fontId="6" fillId="0" borderId="25" xfId="1" applyNumberFormat="1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170" fontId="6" fillId="0" borderId="19" xfId="1" applyNumberFormat="1" applyFont="1" applyBorder="1"/>
    <xf numFmtId="171" fontId="4" fillId="0" borderId="0" xfId="0" applyNumberFormat="1" applyFont="1"/>
    <xf numFmtId="171" fontId="18" fillId="2" borderId="32" xfId="2" applyNumberFormat="1"/>
    <xf numFmtId="171" fontId="18" fillId="2" borderId="44" xfId="2" applyNumberFormat="1" applyBorder="1"/>
    <xf numFmtId="171" fontId="4" fillId="0" borderId="7" xfId="0" applyNumberFormat="1" applyFont="1" applyBorder="1" applyAlignment="1">
      <alignment horizontal="center"/>
    </xf>
    <xf numFmtId="171" fontId="4" fillId="0" borderId="20" xfId="0" applyNumberFormat="1" applyFont="1" applyBorder="1"/>
    <xf numFmtId="171" fontId="4" fillId="0" borderId="3" xfId="0" applyNumberFormat="1" applyFont="1" applyBorder="1" applyAlignment="1">
      <alignment horizontal="center"/>
    </xf>
    <xf numFmtId="170" fontId="4" fillId="0" borderId="24" xfId="0" applyNumberFormat="1" applyFont="1" applyBorder="1" applyAlignment="1">
      <alignment horizontal="center"/>
    </xf>
    <xf numFmtId="170" fontId="4" fillId="0" borderId="25" xfId="0" applyNumberFormat="1" applyFont="1" applyBorder="1" applyAlignment="1">
      <alignment horizontal="right"/>
    </xf>
    <xf numFmtId="170" fontId="4" fillId="0" borderId="2" xfId="0" applyNumberFormat="1" applyFont="1" applyBorder="1" applyAlignment="1">
      <alignment horizontal="center"/>
    </xf>
    <xf numFmtId="170" fontId="18" fillId="2" borderId="32" xfId="2" applyNumberFormat="1"/>
    <xf numFmtId="170" fontId="18" fillId="2" borderId="34" xfId="2" applyNumberFormat="1" applyBorder="1"/>
    <xf numFmtId="170" fontId="18" fillId="2" borderId="44" xfId="2" applyNumberFormat="1" applyBorder="1"/>
    <xf numFmtId="170" fontId="2" fillId="0" borderId="0" xfId="0" applyNumberFormat="1" applyFont="1"/>
    <xf numFmtId="172" fontId="18" fillId="2" borderId="32" xfId="2" applyNumberFormat="1"/>
    <xf numFmtId="171" fontId="18" fillId="2" borderId="32" xfId="2" applyNumberFormat="1" applyAlignment="1">
      <alignment horizontal="right"/>
    </xf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2024/25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bestem.'!$O$56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bestem.'!$O$57:$O$94</c:f>
              <c:numCache>
                <c:formatCode>_ * #\ ##0_ ;_ * \-#\ ##0_ ;_ * "-"??_ ;_ @_ </c:formatCode>
                <c:ptCount val="38"/>
                <c:pt idx="0">
                  <c:v>4990</c:v>
                </c:pt>
                <c:pt idx="1">
                  <c:v>66371</c:v>
                </c:pt>
                <c:pt idx="2">
                  <c:v>76854</c:v>
                </c:pt>
                <c:pt idx="3">
                  <c:v>54316</c:v>
                </c:pt>
                <c:pt idx="4">
                  <c:v>89278</c:v>
                </c:pt>
                <c:pt idx="26">
                  <c:v>4022</c:v>
                </c:pt>
                <c:pt idx="29">
                  <c:v>1356</c:v>
                </c:pt>
                <c:pt idx="32">
                  <c:v>390525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2024/25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bestem.'!$O$8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bestem.'!$O$9:$O$52</c:f>
              <c:numCache>
                <c:formatCode>_ * #\ ##0_ ;_ * \-#\ ##0_ ;_ * "-"??_ ;_ @_ </c:formatCode>
                <c:ptCount val="44"/>
                <c:pt idx="0">
                  <c:v>46054</c:v>
                </c:pt>
                <c:pt idx="1">
                  <c:v>74690</c:v>
                </c:pt>
                <c:pt idx="2">
                  <c:v>81256</c:v>
                </c:pt>
                <c:pt idx="3">
                  <c:v>741303</c:v>
                </c:pt>
                <c:pt idx="4">
                  <c:v>184645</c:v>
                </c:pt>
                <c:pt idx="5">
                  <c:v>166746</c:v>
                </c:pt>
                <c:pt idx="4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'Weekliks-Weekly'!$B$9:$B$52</c:f>
              <c:numCache>
                <c:formatCode>d\-mmm\-yy</c:formatCode>
                <c:ptCount val="44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</c:numCache>
            </c:numRef>
          </c:cat>
          <c:val>
            <c:numRef>
              <c:f>'Weekliks-Weekly'!$T$9:$T$52</c:f>
              <c:numCache>
                <c:formatCode>_ * #\ ##0_ ;_ * \-#\ ##0_ ;_ * "-"??_ ;_ @_ </c:formatCode>
                <c:ptCount val="44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50672</c:v>
                </c:pt>
                <c:pt idx="40">
                  <c:v>48584</c:v>
                </c:pt>
                <c:pt idx="41">
                  <c:v>42412</c:v>
                </c:pt>
                <c:pt idx="42">
                  <c:v>43068</c:v>
                </c:pt>
                <c:pt idx="43">
                  <c:v>40029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'Weekliks-Weekly'!$B$9:$B$52</c:f>
              <c:numCache>
                <c:formatCode>d\-mmm\-yy</c:formatCode>
                <c:ptCount val="44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</c:numCache>
            </c:numRef>
          </c:cat>
          <c:val>
            <c:numRef>
              <c:f>'Weekliks-Weekly'!$M$9:$M$52</c:f>
              <c:numCache>
                <c:formatCode>#,##0</c:formatCode>
                <c:ptCount val="44"/>
                <c:pt idx="0">
                  <c:v>14214</c:v>
                </c:pt>
                <c:pt idx="1">
                  <c:v>35849</c:v>
                </c:pt>
                <c:pt idx="2">
                  <c:v>58594</c:v>
                </c:pt>
                <c:pt idx="3">
                  <c:v>80894</c:v>
                </c:pt>
                <c:pt idx="4">
                  <c:v>109439</c:v>
                </c:pt>
                <c:pt idx="5">
                  <c:v>136216</c:v>
                </c:pt>
                <c:pt idx="6">
                  <c:v>159469</c:v>
                </c:pt>
                <c:pt idx="7">
                  <c:v>184918</c:v>
                </c:pt>
                <c:pt idx="8">
                  <c:v>214895</c:v>
                </c:pt>
                <c:pt idx="9">
                  <c:v>242312</c:v>
                </c:pt>
                <c:pt idx="10">
                  <c:v>282955</c:v>
                </c:pt>
                <c:pt idx="11">
                  <c:v>313882</c:v>
                </c:pt>
                <c:pt idx="12">
                  <c:v>356975</c:v>
                </c:pt>
                <c:pt idx="13">
                  <c:v>383795</c:v>
                </c:pt>
                <c:pt idx="14">
                  <c:v>408394</c:v>
                </c:pt>
                <c:pt idx="15">
                  <c:v>442654</c:v>
                </c:pt>
                <c:pt idx="16">
                  <c:v>474117</c:v>
                </c:pt>
                <c:pt idx="17">
                  <c:v>509984</c:v>
                </c:pt>
                <c:pt idx="18">
                  <c:v>534735</c:v>
                </c:pt>
                <c:pt idx="19">
                  <c:v>562282</c:v>
                </c:pt>
                <c:pt idx="20">
                  <c:v>590258</c:v>
                </c:pt>
                <c:pt idx="21">
                  <c:v>614646</c:v>
                </c:pt>
                <c:pt idx="22">
                  <c:v>644284</c:v>
                </c:pt>
                <c:pt idx="23">
                  <c:v>685512</c:v>
                </c:pt>
                <c:pt idx="24">
                  <c:v>716970</c:v>
                </c:pt>
                <c:pt idx="25">
                  <c:v>749357</c:v>
                </c:pt>
                <c:pt idx="26">
                  <c:v>771486</c:v>
                </c:pt>
                <c:pt idx="27">
                  <c:v>797701</c:v>
                </c:pt>
                <c:pt idx="28">
                  <c:v>824811</c:v>
                </c:pt>
                <c:pt idx="29">
                  <c:v>856339</c:v>
                </c:pt>
                <c:pt idx="30">
                  <c:v>895706</c:v>
                </c:pt>
                <c:pt idx="31">
                  <c:v>928874</c:v>
                </c:pt>
                <c:pt idx="32">
                  <c:v>962938</c:v>
                </c:pt>
                <c:pt idx="33">
                  <c:v>996556</c:v>
                </c:pt>
                <c:pt idx="34">
                  <c:v>1016296</c:v>
                </c:pt>
                <c:pt idx="35">
                  <c:v>1036411</c:v>
                </c:pt>
                <c:pt idx="36">
                  <c:v>1065678</c:v>
                </c:pt>
                <c:pt idx="37">
                  <c:v>1107012</c:v>
                </c:pt>
                <c:pt idx="38">
                  <c:v>1136342</c:v>
                </c:pt>
                <c:pt idx="39">
                  <c:v>1169539</c:v>
                </c:pt>
                <c:pt idx="40">
                  <c:v>1205258</c:v>
                </c:pt>
                <c:pt idx="41">
                  <c:v>1236199</c:v>
                </c:pt>
                <c:pt idx="42">
                  <c:v>1268009</c:v>
                </c:pt>
                <c:pt idx="43">
                  <c:v>1294831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2024/25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'Weekliks-Weekly'!$B$9:$B$52</c:f>
              <c:numCache>
                <c:formatCode>d\-mmm\-yy</c:formatCode>
                <c:ptCount val="44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</c:numCache>
            </c:numRef>
          </c:cat>
          <c:val>
            <c:numRef>
              <c:f>'Weekliks-Weekly'!$K$9:$K$52</c:f>
              <c:numCache>
                <c:formatCode>#,##0</c:formatCode>
                <c:ptCount val="44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35719</c:v>
                </c:pt>
                <c:pt idx="41">
                  <c:v>30941</c:v>
                </c:pt>
                <c:pt idx="42">
                  <c:v>31810</c:v>
                </c:pt>
                <c:pt idx="43">
                  <c:v>26822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'Weekliks-Weekly'!$B$9:$B$52</c:f>
              <c:numCache>
                <c:formatCode>d\-mmm\-yy</c:formatCode>
                <c:ptCount val="44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</c:numCache>
            </c:numRef>
          </c:cat>
          <c:val>
            <c:numRef>
              <c:f>'Weekliks-Weekly'!$V$9:$V$52</c:f>
              <c:numCache>
                <c:formatCode>_ * #\ ##0_ ;_ * \-#\ ##0_ ;_ * "-"??_ ;_ @_ </c:formatCode>
                <c:ptCount val="44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1808450</c:v>
                </c:pt>
                <c:pt idx="40">
                  <c:v>1857034</c:v>
                </c:pt>
                <c:pt idx="41">
                  <c:v>1899446</c:v>
                </c:pt>
                <c:pt idx="42">
                  <c:v>1942514</c:v>
                </c:pt>
                <c:pt idx="43">
                  <c:v>1982543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'Weekliks-Weekly'!$B$9:$B$52</c:f>
              <c:numCache>
                <c:formatCode>d\-mmm\-yy</c:formatCode>
                <c:ptCount val="44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</c:numCache>
            </c:numRef>
          </c:cat>
          <c:val>
            <c:numRef>
              <c:f>'Weekliks-Weekly'!$N$9:$N$52</c:f>
              <c:numCache>
                <c:formatCode>#,##0</c:formatCode>
                <c:ptCount val="44"/>
                <c:pt idx="0">
                  <c:v>7343</c:v>
                </c:pt>
                <c:pt idx="1">
                  <c:v>17099</c:v>
                </c:pt>
                <c:pt idx="2">
                  <c:v>29532</c:v>
                </c:pt>
                <c:pt idx="3">
                  <c:v>45032</c:v>
                </c:pt>
                <c:pt idx="4">
                  <c:v>62276</c:v>
                </c:pt>
                <c:pt idx="5">
                  <c:v>76743</c:v>
                </c:pt>
                <c:pt idx="6">
                  <c:v>94302</c:v>
                </c:pt>
                <c:pt idx="7">
                  <c:v>108475</c:v>
                </c:pt>
                <c:pt idx="8">
                  <c:v>124004</c:v>
                </c:pt>
                <c:pt idx="9">
                  <c:v>136163</c:v>
                </c:pt>
                <c:pt idx="10">
                  <c:v>151415</c:v>
                </c:pt>
                <c:pt idx="11">
                  <c:v>166426</c:v>
                </c:pt>
                <c:pt idx="12">
                  <c:v>181489</c:v>
                </c:pt>
                <c:pt idx="13">
                  <c:v>197569</c:v>
                </c:pt>
                <c:pt idx="14">
                  <c:v>211843</c:v>
                </c:pt>
                <c:pt idx="15">
                  <c:v>230831</c:v>
                </c:pt>
                <c:pt idx="16">
                  <c:v>244216</c:v>
                </c:pt>
                <c:pt idx="17">
                  <c:v>261425</c:v>
                </c:pt>
                <c:pt idx="18">
                  <c:v>275906</c:v>
                </c:pt>
                <c:pt idx="19">
                  <c:v>290730</c:v>
                </c:pt>
                <c:pt idx="20">
                  <c:v>305059</c:v>
                </c:pt>
                <c:pt idx="21">
                  <c:v>322173</c:v>
                </c:pt>
                <c:pt idx="22">
                  <c:v>336153</c:v>
                </c:pt>
                <c:pt idx="23">
                  <c:v>353532</c:v>
                </c:pt>
                <c:pt idx="24">
                  <c:v>369951</c:v>
                </c:pt>
                <c:pt idx="25">
                  <c:v>389942</c:v>
                </c:pt>
                <c:pt idx="26">
                  <c:v>403340</c:v>
                </c:pt>
                <c:pt idx="27">
                  <c:v>418374</c:v>
                </c:pt>
                <c:pt idx="28">
                  <c:v>434651</c:v>
                </c:pt>
                <c:pt idx="29">
                  <c:v>458309</c:v>
                </c:pt>
                <c:pt idx="30">
                  <c:v>486258</c:v>
                </c:pt>
                <c:pt idx="31">
                  <c:v>509250</c:v>
                </c:pt>
                <c:pt idx="32">
                  <c:v>527648</c:v>
                </c:pt>
                <c:pt idx="33">
                  <c:v>542817</c:v>
                </c:pt>
                <c:pt idx="34">
                  <c:v>557089</c:v>
                </c:pt>
                <c:pt idx="35">
                  <c:v>569560</c:v>
                </c:pt>
                <c:pt idx="36">
                  <c:v>591437</c:v>
                </c:pt>
                <c:pt idx="37">
                  <c:v>607391</c:v>
                </c:pt>
                <c:pt idx="38">
                  <c:v>621436</c:v>
                </c:pt>
                <c:pt idx="39">
                  <c:v>638911</c:v>
                </c:pt>
                <c:pt idx="40">
                  <c:v>651776</c:v>
                </c:pt>
                <c:pt idx="41">
                  <c:v>663247</c:v>
                </c:pt>
                <c:pt idx="42">
                  <c:v>674505</c:v>
                </c:pt>
                <c:pt idx="43">
                  <c:v>687712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'Weekliks-Weekly'!$B$9:$B$52</c:f>
              <c:numCache>
                <c:formatCode>d\-mmm\-yy</c:formatCode>
                <c:ptCount val="44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</c:numCache>
            </c:numRef>
          </c:cat>
          <c:val>
            <c:numRef>
              <c:f>'Weekliks-Weekly'!$V$9:$V$52</c:f>
              <c:numCache>
                <c:formatCode>_ * #\ ##0_ ;_ * \-#\ ##0_ ;_ * "-"??_ ;_ @_ </c:formatCode>
                <c:ptCount val="44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1314648</c:v>
                </c:pt>
                <c:pt idx="30">
                  <c:v>1381964</c:v>
                </c:pt>
                <c:pt idx="31">
                  <c:v>1438124</c:v>
                </c:pt>
                <c:pt idx="32">
                  <c:v>1490586</c:v>
                </c:pt>
                <c:pt idx="33">
                  <c:v>1539373</c:v>
                </c:pt>
                <c:pt idx="34">
                  <c:v>1573385</c:v>
                </c:pt>
                <c:pt idx="35">
                  <c:v>1605971</c:v>
                </c:pt>
                <c:pt idx="36">
                  <c:v>1657115</c:v>
                </c:pt>
                <c:pt idx="37">
                  <c:v>1714403</c:v>
                </c:pt>
                <c:pt idx="38">
                  <c:v>1757778</c:v>
                </c:pt>
                <c:pt idx="39">
                  <c:v>1808450</c:v>
                </c:pt>
                <c:pt idx="40">
                  <c:v>1857034</c:v>
                </c:pt>
                <c:pt idx="41">
                  <c:v>1899446</c:v>
                </c:pt>
                <c:pt idx="42">
                  <c:v>1942514</c:v>
                </c:pt>
                <c:pt idx="43">
                  <c:v>1982543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'Weekliks-Weekly'!$K$9:$K$52</c:f>
              <c:numCache>
                <c:formatCode>#,##0</c:formatCode>
                <c:ptCount val="44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39367</c:v>
                </c:pt>
                <c:pt idx="31">
                  <c:v>33168</c:v>
                </c:pt>
                <c:pt idx="32">
                  <c:v>34064</c:v>
                </c:pt>
                <c:pt idx="33">
                  <c:v>33618</c:v>
                </c:pt>
                <c:pt idx="34">
                  <c:v>19740</c:v>
                </c:pt>
                <c:pt idx="35">
                  <c:v>20115</c:v>
                </c:pt>
                <c:pt idx="36">
                  <c:v>29267</c:v>
                </c:pt>
                <c:pt idx="37">
                  <c:v>41334</c:v>
                </c:pt>
                <c:pt idx="38">
                  <c:v>29330</c:v>
                </c:pt>
                <c:pt idx="39">
                  <c:v>33197</c:v>
                </c:pt>
                <c:pt idx="40">
                  <c:v>35719</c:v>
                </c:pt>
                <c:pt idx="41">
                  <c:v>30941</c:v>
                </c:pt>
                <c:pt idx="42">
                  <c:v>31810</c:v>
                </c:pt>
                <c:pt idx="43">
                  <c:v>26822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'Vorige Weekliks-Previous 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'Weekliks-Weekly'!$L$9:$L$52</c:f>
              <c:numCache>
                <c:formatCode>#,##0</c:formatCode>
                <c:ptCount val="44"/>
                <c:pt idx="0">
                  <c:v>7343</c:v>
                </c:pt>
                <c:pt idx="1">
                  <c:v>9756</c:v>
                </c:pt>
                <c:pt idx="2">
                  <c:v>12433</c:v>
                </c:pt>
                <c:pt idx="3">
                  <c:v>15500</c:v>
                </c:pt>
                <c:pt idx="4">
                  <c:v>17244</c:v>
                </c:pt>
                <c:pt idx="5">
                  <c:v>14467</c:v>
                </c:pt>
                <c:pt idx="6">
                  <c:v>17559</c:v>
                </c:pt>
                <c:pt idx="7">
                  <c:v>14173</c:v>
                </c:pt>
                <c:pt idx="8">
                  <c:v>15529</c:v>
                </c:pt>
                <c:pt idx="9">
                  <c:v>12159</c:v>
                </c:pt>
                <c:pt idx="10">
                  <c:v>15252</c:v>
                </c:pt>
                <c:pt idx="11">
                  <c:v>15011</c:v>
                </c:pt>
                <c:pt idx="12">
                  <c:v>15063</c:v>
                </c:pt>
                <c:pt idx="13">
                  <c:v>16080</c:v>
                </c:pt>
                <c:pt idx="14">
                  <c:v>14274</c:v>
                </c:pt>
                <c:pt idx="15">
                  <c:v>18988</c:v>
                </c:pt>
                <c:pt idx="16">
                  <c:v>13385</c:v>
                </c:pt>
                <c:pt idx="17">
                  <c:v>17209</c:v>
                </c:pt>
                <c:pt idx="18">
                  <c:v>14481</c:v>
                </c:pt>
                <c:pt idx="19">
                  <c:v>14824</c:v>
                </c:pt>
                <c:pt idx="20">
                  <c:v>14329</c:v>
                </c:pt>
                <c:pt idx="21">
                  <c:v>17114</c:v>
                </c:pt>
                <c:pt idx="22">
                  <c:v>13980</c:v>
                </c:pt>
                <c:pt idx="23">
                  <c:v>17379</c:v>
                </c:pt>
                <c:pt idx="24">
                  <c:v>16419</c:v>
                </c:pt>
                <c:pt idx="25">
                  <c:v>19991</c:v>
                </c:pt>
                <c:pt idx="26">
                  <c:v>13398</c:v>
                </c:pt>
                <c:pt idx="27">
                  <c:v>15034</c:v>
                </c:pt>
                <c:pt idx="28">
                  <c:v>16277</c:v>
                </c:pt>
                <c:pt idx="29">
                  <c:v>23658</c:v>
                </c:pt>
                <c:pt idx="30">
                  <c:v>27949</c:v>
                </c:pt>
                <c:pt idx="31">
                  <c:v>22992</c:v>
                </c:pt>
                <c:pt idx="32">
                  <c:v>18398</c:v>
                </c:pt>
                <c:pt idx="33">
                  <c:v>15169</c:v>
                </c:pt>
                <c:pt idx="34">
                  <c:v>14272</c:v>
                </c:pt>
                <c:pt idx="35">
                  <c:v>12471</c:v>
                </c:pt>
                <c:pt idx="36">
                  <c:v>21877</c:v>
                </c:pt>
                <c:pt idx="37">
                  <c:v>15954</c:v>
                </c:pt>
                <c:pt idx="38">
                  <c:v>14045</c:v>
                </c:pt>
                <c:pt idx="39">
                  <c:v>17475</c:v>
                </c:pt>
                <c:pt idx="40">
                  <c:v>12865</c:v>
                </c:pt>
                <c:pt idx="41">
                  <c:v>11471</c:v>
                </c:pt>
                <c:pt idx="42">
                  <c:v>11258</c:v>
                </c:pt>
                <c:pt idx="43">
                  <c:v>13207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'Weekliks-Weekly'!$T$9:$T$52</c:f>
              <c:numCache>
                <c:formatCode>_ * #\ ##0_ ;_ * \-#\ ##0_ ;_ * "-"??_ ;_ @_ </c:formatCode>
                <c:ptCount val="44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55186</c:v>
                </c:pt>
                <c:pt idx="30">
                  <c:v>67316</c:v>
                </c:pt>
                <c:pt idx="31">
                  <c:v>56160</c:v>
                </c:pt>
                <c:pt idx="32">
                  <c:v>52462</c:v>
                </c:pt>
                <c:pt idx="33">
                  <c:v>48787</c:v>
                </c:pt>
                <c:pt idx="34">
                  <c:v>34012</c:v>
                </c:pt>
                <c:pt idx="35">
                  <c:v>32586</c:v>
                </c:pt>
                <c:pt idx="36">
                  <c:v>51144</c:v>
                </c:pt>
                <c:pt idx="37">
                  <c:v>57288</c:v>
                </c:pt>
                <c:pt idx="38">
                  <c:v>43375</c:v>
                </c:pt>
                <c:pt idx="39">
                  <c:v>50672</c:v>
                </c:pt>
                <c:pt idx="40">
                  <c:v>48584</c:v>
                </c:pt>
                <c:pt idx="41">
                  <c:v>42412</c:v>
                </c:pt>
                <c:pt idx="42">
                  <c:v>43068</c:v>
                </c:pt>
                <c:pt idx="43">
                  <c:v>40029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'Weekliks-Weekly'!$M$9:$M$52</c15:sqref>
                  </c15:fullRef>
                </c:ext>
              </c:extLst>
              <c:f>('Weekliks-Weekly'!$M$9,'Weekliks-Weekly'!$M$11:$M$52)</c:f>
              <c:numCache>
                <c:formatCode>#,##0</c:formatCode>
                <c:ptCount val="43"/>
                <c:pt idx="0">
                  <c:v>14214</c:v>
                </c:pt>
                <c:pt idx="1">
                  <c:v>58594</c:v>
                </c:pt>
                <c:pt idx="2">
                  <c:v>80894</c:v>
                </c:pt>
                <c:pt idx="3">
                  <c:v>109439</c:v>
                </c:pt>
                <c:pt idx="4">
                  <c:v>136216</c:v>
                </c:pt>
                <c:pt idx="5">
                  <c:v>159469</c:v>
                </c:pt>
                <c:pt idx="6">
                  <c:v>184918</c:v>
                </c:pt>
                <c:pt idx="7">
                  <c:v>214895</c:v>
                </c:pt>
                <c:pt idx="8">
                  <c:v>242312</c:v>
                </c:pt>
                <c:pt idx="9">
                  <c:v>282955</c:v>
                </c:pt>
                <c:pt idx="10">
                  <c:v>313882</c:v>
                </c:pt>
                <c:pt idx="11">
                  <c:v>356975</c:v>
                </c:pt>
                <c:pt idx="12">
                  <c:v>383795</c:v>
                </c:pt>
                <c:pt idx="13">
                  <c:v>408394</c:v>
                </c:pt>
                <c:pt idx="14">
                  <c:v>442654</c:v>
                </c:pt>
                <c:pt idx="15">
                  <c:v>474117</c:v>
                </c:pt>
                <c:pt idx="16">
                  <c:v>509984</c:v>
                </c:pt>
                <c:pt idx="17">
                  <c:v>534735</c:v>
                </c:pt>
                <c:pt idx="18">
                  <c:v>562282</c:v>
                </c:pt>
                <c:pt idx="19">
                  <c:v>590258</c:v>
                </c:pt>
                <c:pt idx="20">
                  <c:v>614646</c:v>
                </c:pt>
                <c:pt idx="21">
                  <c:v>644284</c:v>
                </c:pt>
                <c:pt idx="22">
                  <c:v>685512</c:v>
                </c:pt>
                <c:pt idx="23">
                  <c:v>716970</c:v>
                </c:pt>
                <c:pt idx="24">
                  <c:v>749357</c:v>
                </c:pt>
                <c:pt idx="25">
                  <c:v>771486</c:v>
                </c:pt>
                <c:pt idx="26">
                  <c:v>797701</c:v>
                </c:pt>
                <c:pt idx="27">
                  <c:v>824811</c:v>
                </c:pt>
                <c:pt idx="28">
                  <c:v>856339</c:v>
                </c:pt>
                <c:pt idx="29">
                  <c:v>895706</c:v>
                </c:pt>
                <c:pt idx="30">
                  <c:v>928874</c:v>
                </c:pt>
                <c:pt idx="31">
                  <c:v>962938</c:v>
                </c:pt>
                <c:pt idx="32">
                  <c:v>996556</c:v>
                </c:pt>
                <c:pt idx="33">
                  <c:v>1016296</c:v>
                </c:pt>
                <c:pt idx="34">
                  <c:v>1036411</c:v>
                </c:pt>
                <c:pt idx="35">
                  <c:v>1065678</c:v>
                </c:pt>
                <c:pt idx="36">
                  <c:v>1107012</c:v>
                </c:pt>
                <c:pt idx="37">
                  <c:v>1136342</c:v>
                </c:pt>
                <c:pt idx="38">
                  <c:v>1169539</c:v>
                </c:pt>
                <c:pt idx="39">
                  <c:v>1205258</c:v>
                </c:pt>
                <c:pt idx="40">
                  <c:v>1236199</c:v>
                </c:pt>
                <c:pt idx="41">
                  <c:v>1268009</c:v>
                </c:pt>
                <c:pt idx="42">
                  <c:v>1294831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'Weekliks-Weekly'!$T$9:$T$52</c15:sqref>
                  </c15:fullRef>
                </c:ext>
              </c:extLst>
              <c:f>('Weekliks-Weekly'!$T$9,'Weekliks-Weekly'!$T$11:$T$52)</c:f>
              <c:numCache>
                <c:formatCode>_ * #\ ##0_ ;_ * \-#\ ##0_ ;_ * "-"??_ ;_ @_ </c:formatCode>
                <c:ptCount val="43"/>
                <c:pt idx="0">
                  <c:v>21557</c:v>
                </c:pt>
                <c:pt idx="1">
                  <c:v>35178</c:v>
                </c:pt>
                <c:pt idx="2">
                  <c:v>37800</c:v>
                </c:pt>
                <c:pt idx="3">
                  <c:v>45789</c:v>
                </c:pt>
                <c:pt idx="4">
                  <c:v>41244</c:v>
                </c:pt>
                <c:pt idx="5">
                  <c:v>40812</c:v>
                </c:pt>
                <c:pt idx="6">
                  <c:v>39622</c:v>
                </c:pt>
                <c:pt idx="7">
                  <c:v>45506</c:v>
                </c:pt>
                <c:pt idx="8">
                  <c:v>39576</c:v>
                </c:pt>
                <c:pt idx="9">
                  <c:v>55895</c:v>
                </c:pt>
                <c:pt idx="10">
                  <c:v>45938</c:v>
                </c:pt>
                <c:pt idx="11">
                  <c:v>58156</c:v>
                </c:pt>
                <c:pt idx="12">
                  <c:v>42900</c:v>
                </c:pt>
                <c:pt idx="13">
                  <c:v>38873</c:v>
                </c:pt>
                <c:pt idx="14">
                  <c:v>53248</c:v>
                </c:pt>
                <c:pt idx="15">
                  <c:v>44848</c:v>
                </c:pt>
                <c:pt idx="16">
                  <c:v>53076</c:v>
                </c:pt>
                <c:pt idx="17">
                  <c:v>39232</c:v>
                </c:pt>
                <c:pt idx="18">
                  <c:v>42371</c:v>
                </c:pt>
                <c:pt idx="19">
                  <c:v>42305</c:v>
                </c:pt>
                <c:pt idx="20">
                  <c:v>41502</c:v>
                </c:pt>
                <c:pt idx="21">
                  <c:v>43618</c:v>
                </c:pt>
                <c:pt idx="22">
                  <c:v>58607</c:v>
                </c:pt>
                <c:pt idx="23">
                  <c:v>47877</c:v>
                </c:pt>
                <c:pt idx="24">
                  <c:v>52378</c:v>
                </c:pt>
                <c:pt idx="25">
                  <c:v>35527</c:v>
                </c:pt>
                <c:pt idx="26">
                  <c:v>41249</c:v>
                </c:pt>
                <c:pt idx="27">
                  <c:v>43387</c:v>
                </c:pt>
                <c:pt idx="28">
                  <c:v>55186</c:v>
                </c:pt>
                <c:pt idx="29">
                  <c:v>67316</c:v>
                </c:pt>
                <c:pt idx="30">
                  <c:v>56160</c:v>
                </c:pt>
                <c:pt idx="31">
                  <c:v>52462</c:v>
                </c:pt>
                <c:pt idx="32">
                  <c:v>48787</c:v>
                </c:pt>
                <c:pt idx="33">
                  <c:v>34012</c:v>
                </c:pt>
                <c:pt idx="34">
                  <c:v>32586</c:v>
                </c:pt>
                <c:pt idx="35">
                  <c:v>51144</c:v>
                </c:pt>
                <c:pt idx="36">
                  <c:v>57288</c:v>
                </c:pt>
                <c:pt idx="37">
                  <c:v>43375</c:v>
                </c:pt>
                <c:pt idx="38">
                  <c:v>50672</c:v>
                </c:pt>
                <c:pt idx="39">
                  <c:v>48584</c:v>
                </c:pt>
                <c:pt idx="40">
                  <c:v>42412</c:v>
                </c:pt>
                <c:pt idx="41">
                  <c:v>43068</c:v>
                </c:pt>
                <c:pt idx="42">
                  <c:v>40029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3937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3937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720917" cy="68791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846719" cy="78462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1846719" cy="78462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703719" cy="72747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703719" cy="72747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830674" cy="785544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"/>
  <sheetViews>
    <sheetView topLeftCell="A78" zoomScale="141" zoomScaleNormal="141" workbookViewId="0">
      <selection activeCell="O97" sqref="O97"/>
    </sheetView>
  </sheetViews>
  <sheetFormatPr defaultRowHeight="13.2" x14ac:dyDescent="0.25"/>
  <cols>
    <col min="1" max="1" width="31" customWidth="1"/>
    <col min="2" max="2" width="9.6640625" hidden="1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66" hidden="1" customWidth="1"/>
    <col min="11" max="13" width="11.33203125" hidden="1" customWidth="1"/>
    <col min="14" max="15" width="11.33203125" customWidth="1"/>
    <col min="16" max="16" width="10.44140625" customWidth="1"/>
    <col min="17" max="17" width="48.33203125" customWidth="1"/>
    <col min="18" max="18" width="14" bestFit="1" customWidth="1"/>
    <col min="19" max="19" width="13.33203125" customWidth="1"/>
    <col min="20" max="20" width="12.109375" customWidth="1"/>
  </cols>
  <sheetData>
    <row r="1" spans="1:20" x14ac:dyDescent="0.25">
      <c r="A1" s="1" t="s">
        <v>247</v>
      </c>
      <c r="B1" s="1"/>
      <c r="C1" s="1"/>
      <c r="D1" s="1"/>
    </row>
    <row r="2" spans="1:20" x14ac:dyDescent="0.25">
      <c r="A2" s="1" t="s">
        <v>9</v>
      </c>
      <c r="B2" s="1"/>
      <c r="C2" s="1"/>
      <c r="D2" s="1"/>
    </row>
    <row r="4" spans="1:20" x14ac:dyDescent="0.25">
      <c r="A4" s="55" t="s">
        <v>248</v>
      </c>
      <c r="C4" s="56">
        <f>G5</f>
        <v>45716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0" ht="14.4" x14ac:dyDescent="0.3">
      <c r="B5" s="86"/>
      <c r="C5" s="86"/>
      <c r="D5" s="86"/>
      <c r="G5" s="107">
        <f>'Weekliks-Weekly'!B52</f>
        <v>45716</v>
      </c>
      <c r="H5" s="135"/>
      <c r="I5" s="133"/>
      <c r="J5" s="161"/>
      <c r="K5" s="133"/>
      <c r="L5" s="133"/>
      <c r="M5" s="133"/>
      <c r="N5" s="133"/>
      <c r="O5" s="133"/>
    </row>
    <row r="6" spans="1:20" ht="15" thickBot="1" x14ac:dyDescent="0.35">
      <c r="A6" t="s">
        <v>59</v>
      </c>
      <c r="G6" s="108">
        <f>52-44</f>
        <v>8</v>
      </c>
      <c r="H6" s="136"/>
      <c r="I6" s="134"/>
      <c r="J6" s="162"/>
      <c r="K6" s="134"/>
      <c r="L6" s="134"/>
      <c r="M6" s="134"/>
      <c r="N6" s="134"/>
      <c r="O6" s="134"/>
      <c r="Q6" s="1" t="s">
        <v>91</v>
      </c>
    </row>
    <row r="7" spans="1:20" x14ac:dyDescent="0.25">
      <c r="A7" s="1" t="s">
        <v>1</v>
      </c>
      <c r="B7" s="1"/>
      <c r="C7" s="1"/>
      <c r="D7" s="1"/>
      <c r="H7" s="53"/>
      <c r="I7" s="53"/>
      <c r="K7" s="1"/>
      <c r="L7" s="1"/>
      <c r="M7" s="1"/>
      <c r="N7" s="1" t="s">
        <v>244</v>
      </c>
      <c r="O7" s="1" t="s">
        <v>244</v>
      </c>
      <c r="Q7" s="27"/>
      <c r="R7" s="23" t="s">
        <v>10</v>
      </c>
      <c r="S7" s="23" t="s">
        <v>11</v>
      </c>
      <c r="T7" s="24" t="s">
        <v>40</v>
      </c>
    </row>
    <row r="8" spans="1:20" x14ac:dyDescent="0.25">
      <c r="B8" s="86" t="s">
        <v>104</v>
      </c>
      <c r="C8" s="86" t="s">
        <v>105</v>
      </c>
      <c r="D8" s="156" t="s">
        <v>108</v>
      </c>
      <c r="E8" s="156" t="s">
        <v>112</v>
      </c>
      <c r="F8" s="156" t="s">
        <v>111</v>
      </c>
      <c r="G8" s="156" t="s">
        <v>126</v>
      </c>
      <c r="H8" s="156" t="s">
        <v>223</v>
      </c>
      <c r="I8" s="156" t="s">
        <v>230</v>
      </c>
      <c r="J8" s="156" t="s">
        <v>240</v>
      </c>
      <c r="K8" s="156" t="s">
        <v>243</v>
      </c>
      <c r="L8" s="156" t="s">
        <v>246</v>
      </c>
      <c r="M8" s="156" t="s">
        <v>258</v>
      </c>
      <c r="N8" s="156" t="s">
        <v>266</v>
      </c>
      <c r="O8" s="156" t="s">
        <v>270</v>
      </c>
      <c r="Q8" s="28" t="s">
        <v>12</v>
      </c>
      <c r="R8" s="22">
        <f>L14</f>
        <v>243807</v>
      </c>
      <c r="S8" s="22">
        <f>L61</f>
        <v>11468</v>
      </c>
      <c r="T8" s="29">
        <f>SUM(R8:S8)</f>
        <v>255275</v>
      </c>
    </row>
    <row r="9" spans="1:20" ht="14.4" x14ac:dyDescent="0.3">
      <c r="A9" s="37" t="s">
        <v>241</v>
      </c>
      <c r="B9" s="37">
        <v>12890</v>
      </c>
      <c r="C9" s="21">
        <f>555+35+215+798+376+1230+1454+637+78+297+2470+1069+900+274+1664+770+1034+1133+619+2257+286+336+1270+651+215</f>
        <v>20623</v>
      </c>
      <c r="D9" s="101">
        <f>310+315+485+483+136+781+929+1115+929+274+489+464+499+314+31+92+958+612+186+204+101+54+15+40+507+874+516+444+556+597+322+1091+71+1512+1461+240+587+404</f>
        <v>18998</v>
      </c>
      <c r="E9" s="111">
        <f>12+298+655+339+517+859+944+725+1023+706+652+630+763+378+796+343+70+1276+548+1093+1440+713+671+448+1044+1460+870+286+1255+580+953+69+306+382+112+209+854+388+146+228+37+89+77</f>
        <v>25244</v>
      </c>
      <c r="F9" s="124">
        <f>154+354+25+1723+2524+137+2911+791+1087+914+613+1024+415+21+445+3901+1810+1615+553+1073+1035+655+837+142+34+34+34+68+67+103+238+735+1300+700+135+33+1118+172</f>
        <v>29530</v>
      </c>
      <c r="G9" s="137">
        <f>33+136+66+862+2158+1432+958+971+578+2133+1333+425+313+1664+99+584+139+1945+1676+1938+999+1073+1235+2290+1935+2241+1418+1755+929+869+980+1339+2426+847+1375+1542+2881+950+36+2985+574+861+1088+361+592</f>
        <v>53024</v>
      </c>
      <c r="H9" s="124">
        <f>872+296+560+500+1151+850+494+208+386+594+304+331+136+476+164+505+135+1296+221+309+549+549+757+67+177+155+218+141+1176+841+108+33+1752+412+2711+4+1074+1581+1126+788+721+1343+1431</f>
        <v>27502</v>
      </c>
      <c r="I9" s="124">
        <f>770+480+342+759+539+448+1521+102+277+776+674+918+1123+869+1388+1232+137+281+210</f>
        <v>12846</v>
      </c>
      <c r="J9" s="124">
        <f>1284+817+1781+1941+736+1642+1179+1117+1627+920+544+865+1321+1113+1613+900+74+502+954+1136+1391+2084+1981+1203+912+794+1636+688+485+410+137+645+993+803+68+196+474+1300+866+1114+858</f>
        <v>41104</v>
      </c>
      <c r="K9" s="124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4">
        <f>1369+1996+1830+1562+1510+952+980+798+949+841+932+1166+2085+1668+1915+871+1445+877+709+950+819+1958+1647+1294+1062+773+650+544+834+316+1169+505+608+341+476+36+35+107+481+312+278+546+1985+316+1142</f>
        <v>43639</v>
      </c>
      <c r="M9" s="124">
        <f>796+959+1083+1087+781+741+1747+683+740+1630+1930+1041+309+1218+2395+1827+1047+432+1269+671+944+1185+1417+1412+689+449+349+104+64+350+318+101+411+760+376+2917+1584+738+777</f>
        <v>37331</v>
      </c>
      <c r="N9" s="124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3">
        <f>1400+1328+1334+1505+942+1696+888+682+350+390+2340+1424+3336+2875+1381+1297+979+912+1001+994+927+2273+325+1528+2347+1095+1048+971+137+168+282+452+344+1780+628+634+414+391+1917+1339</f>
        <v>46054</v>
      </c>
      <c r="Q9" s="28" t="s">
        <v>15</v>
      </c>
      <c r="R9" s="22">
        <f>L10</f>
        <v>51700</v>
      </c>
      <c r="S9" s="22">
        <f>L57</f>
        <v>325</v>
      </c>
      <c r="T9" s="29">
        <f>SUM(R9:S9)</f>
        <v>52025</v>
      </c>
    </row>
    <row r="10" spans="1:20" ht="14.4" x14ac:dyDescent="0.3">
      <c r="A10" s="37" t="s">
        <v>15</v>
      </c>
      <c r="B10" s="37">
        <v>139001</v>
      </c>
      <c r="C10" s="21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1">
        <f>1005+574+888+1545+1054+1089+1831+527+308+723+1365+2599+1095+181+749+2095+1761+310+483+1012+2552+836+792+46+1045+1775+1813+2506+2355+2536+1631+1949+560+1691+354+243+397+934+1291+1295+843</f>
        <v>48638</v>
      </c>
      <c r="E10" s="111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4">
        <f>2662+670+602+178+233+615+305+404+1201+2406+3246+1082+265+199+1168+1165+252+4875+2385+2481+1637+1305+1755+879+349+2365+823+150+1395+396+695+465+4284+3728+4148+3254+3005+2259+131+65+1421+292+401+863+527</f>
        <v>62986</v>
      </c>
      <c r="G10" s="137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4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4">
        <f>1011+307+396+1386+847+2003+1267+1319+880+2242+106+228+3566+7754+647+475+383+1225+32+12+1561+440+134+2177+633+229+563+2774+726+8+441+936+3133+308+668+1408</f>
        <v>42225</v>
      </c>
      <c r="J10" s="124">
        <f>418+864+132+1163+2075+1319+1638+1105+396+438+974+855+4699+1143+542+264+162+913+1314+2210+1641+1111+119+2004+584+969+1025+1632+609+210+1294+1906+1613+2457+2103+1430+1596+994+1934+879+52+654+1276+308+712</f>
        <v>51736</v>
      </c>
      <c r="K10" s="124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4">
        <f>2229+1257+64+4840+936+1039+299+1832+1320+1848+567+1234+877+536+508+242+1340+1676+3426+1338+2294+1393+4050+1317+1348+1255+1436+1681+1500+1852+584+1209+1184+649+745+273+536+447+539</f>
        <v>51700</v>
      </c>
      <c r="M10" s="124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4">
        <f>302+302+501+3937+1119+1564+1656+1091+4388+2771+757+3173+1028+1807+6723+1104+1129+635+3720+618+596+900+3177+1755+1789+1757+4469+880+440+6079+4660+488</f>
        <v>65315</v>
      </c>
      <c r="O10" s="123">
        <f>1537+2004+1764+1856+1124+1836+1861+3533+5+318+3401+507+653+618+1723+1937+1719+1230+1003+72+569+1533+1031+2184+2390+2490+1977+2106+4348+3295+3124+3489+3020+2466+2371+2696+5483+499+606+312</f>
        <v>74690</v>
      </c>
      <c r="Q10" s="28" t="s">
        <v>17</v>
      </c>
      <c r="R10" s="22">
        <f>L13</f>
        <v>116174</v>
      </c>
      <c r="S10" s="22">
        <f>L60</f>
        <v>44097</v>
      </c>
      <c r="T10" s="29">
        <f>SUM(R10:S10)</f>
        <v>160271</v>
      </c>
    </row>
    <row r="11" spans="1:20" ht="14.4" x14ac:dyDescent="0.3">
      <c r="A11" s="37" t="s">
        <v>18</v>
      </c>
      <c r="B11" s="37">
        <v>65301</v>
      </c>
      <c r="C11" s="21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1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1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4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7">
        <f>431+270+133+1268+1316+127+739+1238+1950+1733+535+1814+1038+1382+1576+1256+2107+5198+936+837+266+330+494+173+305+507+609+355+858+1696+1109+732+702+700+133+69+290+2375+1434+1378+814+796</f>
        <v>42009</v>
      </c>
      <c r="H11" s="124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4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4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4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4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4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4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3">
        <f>354+1022+992+820+608+828+11513+359+393+257+1626+68+1643+1835+3351+681+179+561+681+1279+12560+686+1294+689+789+1671+1487+1821+2451+2613+2385+2747+752+11354+691+189+909+71+1204+1095+1677+1134+923+1014</f>
        <v>81256</v>
      </c>
      <c r="Q11" s="28" t="s">
        <v>13</v>
      </c>
      <c r="R11" s="22">
        <f>L9</f>
        <v>43639</v>
      </c>
      <c r="S11" s="22">
        <f>L59</f>
        <v>99070</v>
      </c>
      <c r="T11" s="29">
        <f>SUM(R11:S11)</f>
        <v>142709</v>
      </c>
    </row>
    <row r="12" spans="1:20" ht="15.6" customHeight="1" thickBot="1" x14ac:dyDescent="0.35">
      <c r="A12" s="37" t="s">
        <v>14</v>
      </c>
      <c r="B12" s="37">
        <v>352</v>
      </c>
      <c r="C12" s="21">
        <f>1189+572+171+1660+947+880+484+176</f>
        <v>6079</v>
      </c>
      <c r="D12" s="101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1">
        <f>508+74+792+2224+1364+682+2860+2552+2200+1185+836+1848+792+2508+1100+1232+2387+2288+1450+1844+0+2499+5101+5415+4184+4330+1500+650+2625+529</f>
        <v>57559</v>
      </c>
      <c r="F12" s="124">
        <f>632+740+1494+2640+2508+3651+4311+4224+3300+2728+1012+1760+3080+2420+1980</f>
        <v>36480</v>
      </c>
      <c r="G12" s="137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4">
        <f>35+36+109+109+1100+880+2156+1276+111+35+35+99+272+1185+3039</f>
        <v>10477</v>
      </c>
      <c r="I12" s="124"/>
      <c r="J12" s="124">
        <f>14517+8245+7549+14757+20712+13141+17226+21883+18560+15913+17442+21347+17457+13688+8650+6478+3984+3090+3118+2333+1651+1310+1036+2599+1300+34+135+34+64+906</f>
        <v>259159</v>
      </c>
      <c r="K12" s="124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4">
        <f>4+11+475+1256+921+1949</f>
        <v>4616</v>
      </c>
      <c r="M12" s="124">
        <f>7851+8066+4756+6449+15625+5016+7767+1712+5073+6849+4287+2709+2091+4576+2606+1536+3065+1547+1026+2328+489+452+3074+880+1364+2268+1891+596+1895+1257+1907+1312+1098+878</f>
        <v>114296</v>
      </c>
      <c r="N12" s="124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3">
        <f>14002+19263+17905+21672+23704+20015+19597+19526+16959+12022+22595+22821+18482+21977+18548+15931+17109+13175+16537+18619+16919+15059+14535+16812+16350+16022+24884+17422+18884+12036+13406+25722+19351+19462+16931+19506+14095+10725+13365+11172+11058+10348+10152+6628</f>
        <v>741303</v>
      </c>
      <c r="Q12" s="30" t="s">
        <v>19</v>
      </c>
      <c r="R12" s="31">
        <f>SUM(R8:R11)</f>
        <v>455320</v>
      </c>
      <c r="S12" s="31">
        <f>SUM(S8:S11)</f>
        <v>154960</v>
      </c>
      <c r="T12" s="32">
        <f>SUM(R12:S12)</f>
        <v>610280</v>
      </c>
    </row>
    <row r="13" spans="1:20" ht="14.4" x14ac:dyDescent="0.3">
      <c r="A13" s="37" t="s">
        <v>17</v>
      </c>
      <c r="B13" s="37">
        <v>37759</v>
      </c>
      <c r="C13" s="21">
        <f>2765+2237+3193+2301+2796+3816+4022+4320+3409+7642+1250+4861+2643+4705+2924+2477+237+4181+1347+1484+1477+100+135+30+94+96+521+66+51+1045</f>
        <v>66225</v>
      </c>
      <c r="D13" s="101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1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4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7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4">
        <f>1687+3385+2873+1928+2386+3420+2940+2712+3185+2841+3423+3234+2791+3362+2478+120+118+62+150+94+58+90+10+60+89+120+91+175+116+59+55+59+86+1+89+28+342+236+236+637+1887+2007+2098+2196+2060</f>
        <v>56074</v>
      </c>
      <c r="I13" s="124">
        <f>2568+2374+2186+2379+1766+2725+2406+2926+70+509+1845+2782+2589+2892+2930+2633+1461+380+618+2939+1989</f>
        <v>42967</v>
      </c>
      <c r="J13" s="124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4">
        <f>3471+4581+5195+3224+2506+4474+4111+3823+3044+3046+3356+3629+3516+4231+4386+3719+4230+599+282+3690+5693+3934+3532+3790+3553+3086+2308+2371+353+11+1991+263+1116+1498+1762+1263+1297+2818</f>
        <v>109752</v>
      </c>
      <c r="L13" s="124">
        <f>4072+4042+4174+4657+4550+5197+5577+6095+5816+5715+5855+4714+5545+6113+5182+4019+2584+1754+3756+4225+4447+4718+3166+2470+1663+36+104+257+2480+3191</f>
        <v>116174</v>
      </c>
      <c r="M13" s="124">
        <f>4356+5177+3969+4342+6952+4924+5495+5975+3719+4439+4394+4433+3467+4488+4822+5673+4281+1718+3665+5943+4702+2562+1882</f>
        <v>101378</v>
      </c>
      <c r="N13" s="124">
        <f>5520+6730+6906+4235+3330+6714+5374+5968+4911+5850+6320+5207+5507+5269+5663+5776+3624+696+4066+5153+6264+5626+5956+4555+4174+4571+4153+4522+4697+3536+4472+4582+3757+4292+1806+2592+2147+647+237+181+469+72</f>
        <v>176127</v>
      </c>
      <c r="O13" s="123">
        <f>5251+4009+3925+5913+4552+4663+4036+3490+987+968+3799+5744+5354+4246+4601+4505+4580+5446+6621+5702+6113+5922+4965+5156+3350+3266+3022+4926+4968+3892+4642+5183+5054+3580+3212+2756+3199+3873+3733+4407+2622+4204+1789+2419</f>
        <v>184645</v>
      </c>
      <c r="Q13" s="1"/>
      <c r="R13" s="36"/>
      <c r="S13" s="36"/>
      <c r="T13" s="36"/>
    </row>
    <row r="14" spans="1:20" ht="14.4" x14ac:dyDescent="0.3">
      <c r="A14" s="37" t="s">
        <v>12</v>
      </c>
      <c r="B14" s="37">
        <v>149901</v>
      </c>
      <c r="C14" s="21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1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1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4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7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4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4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4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4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4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4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4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3">
        <f>4278+4184+5021+3953+2267+292+3439+5210+1426+2570+3258+4002+4035+5033+3140+4043+2750+312+5610+3145+3479+4695+3197+3222+3178+1666+3242+4904+4496+3944+4113+4743+2023+3123+3094+4162+4780+4364+5151+5754+6030+6062+6542+2814</f>
        <v>166746</v>
      </c>
      <c r="Q14" s="1"/>
      <c r="R14" s="36"/>
      <c r="S14" s="36"/>
      <c r="T14" s="36"/>
    </row>
    <row r="15" spans="1:20" ht="15" thickBot="1" x14ac:dyDescent="0.35">
      <c r="A15" s="37" t="s">
        <v>69</v>
      </c>
      <c r="B15" s="37">
        <v>1162100</v>
      </c>
      <c r="C15" s="21">
        <f>41799+7929+33870+5287+34531+16808+21292+9016+33661+23950+35584+31309+33991+6700+29671+25192+50399+87300+26999+61633+74765+14729+81000+32550</f>
        <v>819965</v>
      </c>
      <c r="D15" s="101">
        <f>19803+18866+8186+31763+4804+33834+7893+28248+36700</f>
        <v>190097</v>
      </c>
      <c r="E15" s="111"/>
      <c r="F15" s="124"/>
      <c r="G15" s="137"/>
      <c r="H15" s="124"/>
      <c r="I15" s="124"/>
      <c r="J15" s="124"/>
      <c r="K15" s="124"/>
      <c r="L15" s="124"/>
      <c r="M15" s="124">
        <f>35493+5034+17540+27460+50100+18415+36121+17070+4251+7031+4718+29287+23558+20442+40400</f>
        <v>336920</v>
      </c>
      <c r="N15" s="124"/>
      <c r="O15" s="123"/>
      <c r="Q15" s="1" t="s">
        <v>86</v>
      </c>
    </row>
    <row r="16" spans="1:20" ht="14.4" x14ac:dyDescent="0.3">
      <c r="A16" s="37" t="s">
        <v>21</v>
      </c>
      <c r="B16" s="37"/>
      <c r="C16" s="22"/>
      <c r="D16" s="102">
        <v>2369</v>
      </c>
      <c r="E16" s="112"/>
      <c r="F16" s="125"/>
      <c r="G16" s="138"/>
      <c r="H16" s="125"/>
      <c r="I16" s="125"/>
      <c r="J16" s="124"/>
      <c r="K16" s="124"/>
      <c r="L16" s="124">
        <f>309+549+1195+652+858+515+4704+1034+241+483+692+340+342+276+1387+205+445+549+307+410+479+136+272+102+272+204+170+34+102</f>
        <v>17264</v>
      </c>
      <c r="M16" s="124">
        <v>0</v>
      </c>
      <c r="N16" s="124"/>
      <c r="O16" s="123"/>
      <c r="Q16" s="27"/>
      <c r="R16" s="23" t="s">
        <v>10</v>
      </c>
      <c r="S16" s="23" t="s">
        <v>11</v>
      </c>
      <c r="T16" s="24" t="s">
        <v>40</v>
      </c>
    </row>
    <row r="17" spans="1:23" ht="14.4" x14ac:dyDescent="0.3">
      <c r="A17" s="37" t="s">
        <v>41</v>
      </c>
      <c r="B17" s="37"/>
      <c r="C17" s="21"/>
      <c r="D17" s="101"/>
      <c r="E17" s="111"/>
      <c r="F17" s="124"/>
      <c r="G17" s="137"/>
      <c r="H17" s="124"/>
      <c r="I17" s="124"/>
      <c r="J17" s="124"/>
      <c r="K17" s="124"/>
      <c r="L17" s="124"/>
      <c r="M17" s="124"/>
      <c r="N17" s="124"/>
      <c r="O17" s="123"/>
      <c r="Q17" s="28" t="s">
        <v>87</v>
      </c>
      <c r="R17" s="95">
        <f>L9+L10+L11+L12+L13+L14</f>
        <v>532952</v>
      </c>
      <c r="S17" s="95">
        <f>L57+L58+L59+L60+L61+L65+L89+L86</f>
        <v>214392</v>
      </c>
      <c r="T17" s="29">
        <f>SUM(R17:S17)</f>
        <v>747344</v>
      </c>
      <c r="V17" s="2"/>
      <c r="W17" s="2"/>
    </row>
    <row r="18" spans="1:23" ht="14.4" x14ac:dyDescent="0.3">
      <c r="A18" s="37" t="s">
        <v>79</v>
      </c>
      <c r="B18" s="37"/>
      <c r="C18" s="21"/>
      <c r="D18" s="101"/>
      <c r="E18" s="111"/>
      <c r="F18" s="124"/>
      <c r="G18" s="137"/>
      <c r="H18" s="124"/>
      <c r="I18" s="124"/>
      <c r="J18" s="124"/>
      <c r="K18" s="124"/>
      <c r="L18" s="124"/>
      <c r="M18" s="124"/>
      <c r="N18" s="124"/>
      <c r="O18" s="123"/>
      <c r="Q18" s="58" t="s">
        <v>226</v>
      </c>
      <c r="R18" s="95">
        <f>L35</f>
        <v>174382</v>
      </c>
      <c r="S18" s="95">
        <f>L62+L63+L73+L88+L91+L93</f>
        <v>2652412</v>
      </c>
      <c r="T18" s="29">
        <f>SUM(R18:S18)</f>
        <v>2826794</v>
      </c>
    </row>
    <row r="19" spans="1:23" ht="15" thickBot="1" x14ac:dyDescent="0.35">
      <c r="A19" s="37" t="s">
        <v>42</v>
      </c>
      <c r="B19" s="37"/>
      <c r="C19" s="21"/>
      <c r="D19" s="101">
        <v>1058</v>
      </c>
      <c r="E19" s="111"/>
      <c r="F19" s="124"/>
      <c r="G19" s="137"/>
      <c r="H19" s="124"/>
      <c r="I19" s="124"/>
      <c r="J19" s="124"/>
      <c r="K19" s="124"/>
      <c r="L19" s="124"/>
      <c r="M19" s="124"/>
      <c r="N19" s="124"/>
      <c r="O19" s="123"/>
      <c r="Q19" s="30" t="s">
        <v>19</v>
      </c>
      <c r="R19" s="31">
        <f>SUM(R17:R18)</f>
        <v>707334</v>
      </c>
      <c r="S19" s="31">
        <f>SUM(S17:S18)</f>
        <v>2866804</v>
      </c>
      <c r="T19" s="32">
        <f>SUM(R19:S19)</f>
        <v>3574138</v>
      </c>
    </row>
    <row r="20" spans="1:23" ht="14.4" x14ac:dyDescent="0.3">
      <c r="A20" s="37" t="s">
        <v>76</v>
      </c>
      <c r="B20" s="37"/>
      <c r="C20" s="21">
        <f>43+774+645</f>
        <v>1462</v>
      </c>
      <c r="D20" s="101"/>
      <c r="E20" s="111"/>
      <c r="F20" s="124"/>
      <c r="G20" s="137"/>
      <c r="H20" s="124"/>
      <c r="I20" s="124"/>
      <c r="J20" s="124"/>
      <c r="K20" s="124"/>
      <c r="L20" s="124"/>
      <c r="M20" s="124"/>
      <c r="N20" s="124"/>
      <c r="O20" s="123"/>
      <c r="Q20" s="1"/>
      <c r="R20" s="36"/>
      <c r="S20" s="36"/>
      <c r="T20" s="36"/>
    </row>
    <row r="21" spans="1:23" ht="14.4" x14ac:dyDescent="0.3">
      <c r="A21" s="37" t="s">
        <v>68</v>
      </c>
      <c r="B21" s="37"/>
      <c r="C21" s="21"/>
      <c r="D21" s="101"/>
      <c r="E21" s="111"/>
      <c r="F21" s="124"/>
      <c r="G21" s="137"/>
      <c r="H21" s="124"/>
      <c r="I21" s="124"/>
      <c r="J21" s="124"/>
      <c r="K21" s="124"/>
      <c r="L21" s="124"/>
      <c r="M21" s="124"/>
      <c r="N21" s="124"/>
      <c r="O21" s="123"/>
      <c r="Q21" s="1"/>
      <c r="R21" s="36"/>
      <c r="S21" s="36"/>
      <c r="T21" s="36"/>
    </row>
    <row r="22" spans="1:23" ht="14.4" x14ac:dyDescent="0.3">
      <c r="A22" s="37" t="s">
        <v>77</v>
      </c>
      <c r="B22" s="37"/>
      <c r="C22" s="21"/>
      <c r="D22" s="101"/>
      <c r="E22" s="111"/>
      <c r="F22" s="124"/>
      <c r="G22" s="137"/>
      <c r="H22" s="124"/>
      <c r="I22" s="124"/>
      <c r="J22" s="124"/>
      <c r="K22" s="124"/>
      <c r="L22" s="124"/>
      <c r="M22" s="124"/>
      <c r="N22" s="124"/>
      <c r="O22" s="123"/>
      <c r="Q22" s="1"/>
      <c r="R22" s="36"/>
      <c r="S22" s="36"/>
      <c r="T22" s="36"/>
    </row>
    <row r="23" spans="1:23" ht="14.4" x14ac:dyDescent="0.3">
      <c r="A23" s="37" t="s">
        <v>61</v>
      </c>
      <c r="B23" s="37"/>
      <c r="C23" s="21"/>
      <c r="D23" s="101"/>
      <c r="E23" s="111"/>
      <c r="F23" s="124"/>
      <c r="G23" s="137"/>
      <c r="H23" s="124"/>
      <c r="I23" s="124"/>
      <c r="J23" s="124"/>
      <c r="K23" s="124"/>
      <c r="L23" s="124"/>
      <c r="M23" s="124"/>
      <c r="N23" s="124"/>
      <c r="O23" s="123"/>
      <c r="Q23" s="1"/>
      <c r="R23" s="36"/>
      <c r="S23" s="36"/>
      <c r="T23" s="36"/>
    </row>
    <row r="24" spans="1:23" ht="15" thickBot="1" x14ac:dyDescent="0.35">
      <c r="A24" s="37" t="s">
        <v>242</v>
      </c>
      <c r="B24" s="37"/>
      <c r="C24" s="21"/>
      <c r="D24" s="101"/>
      <c r="E24" s="111"/>
      <c r="F24" s="124"/>
      <c r="G24" s="137"/>
      <c r="H24" s="124"/>
      <c r="I24" s="124"/>
      <c r="J24" s="124"/>
      <c r="K24" s="124"/>
      <c r="L24" s="124"/>
      <c r="M24" s="124"/>
      <c r="N24" s="124"/>
      <c r="O24" s="123"/>
      <c r="Q24" s="76"/>
      <c r="R24" s="77"/>
      <c r="S24" s="77"/>
      <c r="T24" s="77"/>
    </row>
    <row r="25" spans="1:23" ht="14.4" x14ac:dyDescent="0.3">
      <c r="A25" s="37" t="s">
        <v>72</v>
      </c>
      <c r="B25" s="37"/>
      <c r="C25" s="21"/>
      <c r="D25" s="101"/>
      <c r="E25" s="111"/>
      <c r="F25" s="124"/>
      <c r="G25" s="137"/>
      <c r="H25" s="124"/>
      <c r="I25" s="124">
        <f>38509</f>
        <v>38509</v>
      </c>
      <c r="J25" s="124">
        <f>35521+14360+24140</f>
        <v>74021</v>
      </c>
      <c r="K25" s="124">
        <f>20014</f>
        <v>20014</v>
      </c>
      <c r="L25" s="124"/>
      <c r="M25" s="124"/>
      <c r="N25" s="124"/>
      <c r="O25" s="123"/>
      <c r="Q25" s="220" t="s">
        <v>130</v>
      </c>
      <c r="R25" s="23" t="s">
        <v>45</v>
      </c>
      <c r="S25" s="23" t="s">
        <v>46</v>
      </c>
      <c r="T25" s="24" t="s">
        <v>19</v>
      </c>
    </row>
    <row r="26" spans="1:23" ht="14.4" x14ac:dyDescent="0.3">
      <c r="A26" s="37" t="s">
        <v>38</v>
      </c>
      <c r="B26" s="37"/>
      <c r="C26" s="21"/>
      <c r="D26" s="101"/>
      <c r="E26" s="111"/>
      <c r="F26" s="124"/>
      <c r="G26" s="137"/>
      <c r="H26" s="124"/>
      <c r="I26" s="124"/>
      <c r="J26" s="124"/>
      <c r="K26" s="124"/>
      <c r="L26" s="124"/>
      <c r="M26" s="124"/>
      <c r="N26" s="124">
        <f>2051+1967</f>
        <v>4018</v>
      </c>
      <c r="O26" s="123"/>
      <c r="Q26" s="221"/>
      <c r="R26" s="126">
        <f>H53/(52-R35)</f>
        <v>17499.386363636364</v>
      </c>
      <c r="S26" s="126">
        <f>H95/(52-R35)</f>
        <v>33561.38636363636</v>
      </c>
      <c r="T26" s="109">
        <f>H96/(52-R35)</f>
        <v>51060.772727272728</v>
      </c>
    </row>
    <row r="27" spans="1:23" ht="15" thickBot="1" x14ac:dyDescent="0.35">
      <c r="A27" s="37" t="s">
        <v>22</v>
      </c>
      <c r="B27" s="37"/>
      <c r="C27" s="21"/>
      <c r="D27" s="101"/>
      <c r="E27" s="111"/>
      <c r="F27" s="124"/>
      <c r="G27" s="137"/>
      <c r="H27" s="124">
        <f>22591+20001+24996+71010+552+706+38442+38518+30434</f>
        <v>247250</v>
      </c>
      <c r="I27" s="124"/>
      <c r="J27" s="124"/>
      <c r="K27" s="124"/>
      <c r="L27" s="124"/>
      <c r="M27" s="124">
        <f>48868+20906+6367+4974+4170+1761</f>
        <v>87046</v>
      </c>
      <c r="N27" s="124">
        <f>143+2407+108+5494+6813+3480+4910+5719+17750+4637+2757+4114+6361+3099</f>
        <v>67792</v>
      </c>
      <c r="O27" s="123"/>
      <c r="Q27" s="83" t="s">
        <v>101</v>
      </c>
      <c r="R27" s="81">
        <f>R26*52</f>
        <v>909968.09090909094</v>
      </c>
      <c r="S27" s="81">
        <f>S26*52</f>
        <v>1745192.0909090908</v>
      </c>
      <c r="T27" s="82">
        <f>R27+S27</f>
        <v>2655160.1818181816</v>
      </c>
    </row>
    <row r="28" spans="1:23" ht="14.4" x14ac:dyDescent="0.3">
      <c r="A28" s="37" t="s">
        <v>109</v>
      </c>
      <c r="B28" s="37">
        <v>45234</v>
      </c>
      <c r="C28" s="21">
        <f>9621+39629+997</f>
        <v>50247</v>
      </c>
      <c r="D28" s="101"/>
      <c r="E28" s="111">
        <f>1687+1690+723+731+326+408</f>
        <v>5565</v>
      </c>
      <c r="F28" s="124"/>
      <c r="G28" s="137"/>
      <c r="H28" s="124"/>
      <c r="I28" s="124"/>
      <c r="J28" s="124"/>
      <c r="K28" s="124"/>
      <c r="L28" s="124"/>
      <c r="M28" s="124">
        <f>24664+19336+26509+24991</f>
        <v>95500</v>
      </c>
      <c r="N28" s="124"/>
      <c r="O28" s="123"/>
      <c r="Q28" s="66" t="s">
        <v>100</v>
      </c>
      <c r="R28" s="50"/>
      <c r="S28" s="50"/>
    </row>
    <row r="29" spans="1:23" ht="14.4" x14ac:dyDescent="0.3">
      <c r="A29" s="37" t="s">
        <v>39</v>
      </c>
      <c r="B29" s="37"/>
      <c r="C29" s="21"/>
      <c r="D29" s="101"/>
      <c r="E29" s="111"/>
      <c r="F29" s="124"/>
      <c r="G29" s="137"/>
      <c r="H29" s="124"/>
      <c r="I29" s="124"/>
      <c r="J29" s="124"/>
      <c r="K29" s="124"/>
      <c r="L29" s="124"/>
      <c r="M29" s="124"/>
      <c r="N29" s="124"/>
      <c r="O29" s="123"/>
      <c r="R29" s="50"/>
      <c r="S29" s="50"/>
    </row>
    <row r="30" spans="1:23" ht="15" thickBot="1" x14ac:dyDescent="0.35">
      <c r="A30" s="37" t="s">
        <v>60</v>
      </c>
      <c r="B30" s="37"/>
      <c r="C30" s="21"/>
      <c r="D30" s="101"/>
      <c r="E30" s="111"/>
      <c r="F30" s="124"/>
      <c r="G30" s="137"/>
      <c r="H30" s="124"/>
      <c r="I30" s="124"/>
      <c r="J30" s="124"/>
      <c r="K30" s="124"/>
      <c r="L30" s="124"/>
      <c r="M30" s="124"/>
      <c r="N30" s="124"/>
      <c r="O30" s="123"/>
      <c r="Q30" s="1" t="s">
        <v>54</v>
      </c>
    </row>
    <row r="31" spans="1:23" ht="14.4" x14ac:dyDescent="0.3">
      <c r="A31" s="37" t="s">
        <v>4</v>
      </c>
      <c r="B31" s="37"/>
      <c r="C31" s="21"/>
      <c r="D31" s="101"/>
      <c r="E31" s="111"/>
      <c r="F31" s="124"/>
      <c r="G31" s="137">
        <f>134+238+65+100+133+165+357+229+316+604+29+457</f>
        <v>2827</v>
      </c>
      <c r="H31" s="124"/>
      <c r="I31" s="124"/>
      <c r="J31" s="124"/>
      <c r="K31" s="124"/>
      <c r="L31" s="124"/>
      <c r="M31" s="124"/>
      <c r="N31" s="124"/>
      <c r="O31" s="123"/>
      <c r="Q31" s="33"/>
      <c r="R31" s="23" t="s">
        <v>47</v>
      </c>
      <c r="S31" s="23" t="s">
        <v>97</v>
      </c>
      <c r="T31" s="24" t="s">
        <v>52</v>
      </c>
    </row>
    <row r="32" spans="1:23" ht="14.4" x14ac:dyDescent="0.3">
      <c r="A32" s="37" t="s">
        <v>102</v>
      </c>
      <c r="B32" s="37"/>
      <c r="C32" s="21">
        <f>817+559+516+967</f>
        <v>2859</v>
      </c>
      <c r="D32" s="101"/>
      <c r="E32" s="111"/>
      <c r="F32" s="124"/>
      <c r="G32" s="137"/>
      <c r="H32" s="124"/>
      <c r="I32" s="124"/>
      <c r="J32" s="124"/>
      <c r="K32" s="124"/>
      <c r="L32" s="124"/>
      <c r="M32" s="124"/>
      <c r="N32" s="124"/>
      <c r="O32" s="123"/>
      <c r="Q32" s="39" t="s">
        <v>48</v>
      </c>
      <c r="R32" s="94">
        <v>2000000</v>
      </c>
      <c r="S32" s="94">
        <v>2650000</v>
      </c>
      <c r="T32" s="96">
        <v>2700000</v>
      </c>
      <c r="W32" s="66"/>
    </row>
    <row r="33" spans="1:20" ht="14.4" x14ac:dyDescent="0.3">
      <c r="A33" s="37" t="s">
        <v>90</v>
      </c>
      <c r="B33" s="37"/>
      <c r="C33" s="21"/>
      <c r="D33" s="101"/>
      <c r="E33" s="111"/>
      <c r="F33" s="124"/>
      <c r="G33" s="137"/>
      <c r="H33" s="124"/>
      <c r="I33" s="124"/>
      <c r="J33" s="124"/>
      <c r="K33" s="124"/>
      <c r="L33" s="124"/>
      <c r="M33" s="124">
        <f>24024+28476</f>
        <v>52500</v>
      </c>
      <c r="N33" s="124"/>
      <c r="O33" s="123"/>
      <c r="Q33" s="58" t="s">
        <v>129</v>
      </c>
      <c r="R33" s="21">
        <f>H53</f>
        <v>769973</v>
      </c>
      <c r="S33" s="21">
        <f>H53</f>
        <v>769973</v>
      </c>
      <c r="T33" s="34">
        <f>H53</f>
        <v>769973</v>
      </c>
    </row>
    <row r="34" spans="1:20" ht="14.4" x14ac:dyDescent="0.3">
      <c r="A34" s="37" t="s">
        <v>88</v>
      </c>
      <c r="B34" s="37"/>
      <c r="C34" s="21"/>
      <c r="D34" s="101"/>
      <c r="E34" s="111"/>
      <c r="F34" s="124"/>
      <c r="G34" s="137"/>
      <c r="H34" s="124"/>
      <c r="I34" s="124"/>
      <c r="J34" s="124"/>
      <c r="K34" s="124"/>
      <c r="L34" s="124"/>
      <c r="M34" s="124"/>
      <c r="N34" s="124"/>
      <c r="O34" s="123"/>
      <c r="Q34" s="28" t="s">
        <v>49</v>
      </c>
      <c r="R34" s="21">
        <f>R32-R33</f>
        <v>1230027</v>
      </c>
      <c r="S34" s="21">
        <f>S32-S33</f>
        <v>1880027</v>
      </c>
      <c r="T34" s="34">
        <f>T32-T33</f>
        <v>1930027</v>
      </c>
    </row>
    <row r="35" spans="1:20" ht="14.4" x14ac:dyDescent="0.3">
      <c r="A35" s="37" t="s">
        <v>85</v>
      </c>
      <c r="B35" s="37">
        <v>68005</v>
      </c>
      <c r="C35" s="21">
        <f>27700+33176</f>
        <v>60876</v>
      </c>
      <c r="D35" s="101"/>
      <c r="E35" s="111"/>
      <c r="F35" s="124"/>
      <c r="G35" s="137"/>
      <c r="H35" s="124"/>
      <c r="I35" s="124">
        <f>29110+14968+19022+27529</f>
        <v>90629</v>
      </c>
      <c r="J35" s="124"/>
      <c r="K35" s="124">
        <f>26114+6536+29628+17007+22887+25729</f>
        <v>127901</v>
      </c>
      <c r="L35" s="124">
        <f>36387+12000+29972+14028+11250+31298+39447</f>
        <v>174382</v>
      </c>
      <c r="M35" s="124">
        <f>47500+31566+12434+41651+12405+27595+44000+45060</f>
        <v>262211</v>
      </c>
      <c r="N35" s="124"/>
      <c r="O35" s="123"/>
      <c r="Q35" s="28" t="s">
        <v>50</v>
      </c>
      <c r="R35" s="21">
        <f>G6</f>
        <v>8</v>
      </c>
      <c r="S35" s="21">
        <f>$R$35</f>
        <v>8</v>
      </c>
      <c r="T35" s="34">
        <f>$R$35</f>
        <v>8</v>
      </c>
    </row>
    <row r="36" spans="1:20" ht="15" thickBot="1" x14ac:dyDescent="0.35">
      <c r="A36" s="37" t="s">
        <v>67</v>
      </c>
      <c r="B36" s="37">
        <v>19442</v>
      </c>
      <c r="C36" s="21"/>
      <c r="D36" s="101"/>
      <c r="E36" s="111"/>
      <c r="F36" s="124"/>
      <c r="G36" s="137"/>
      <c r="H36" s="124">
        <f>480</f>
        <v>480</v>
      </c>
      <c r="I36" s="124"/>
      <c r="J36" s="124">
        <f>22900</f>
        <v>22900</v>
      </c>
      <c r="K36" s="124"/>
      <c r="L36" s="124"/>
      <c r="M36" s="124"/>
      <c r="N36" s="124"/>
      <c r="O36" s="123"/>
      <c r="Q36" s="35" t="s">
        <v>51</v>
      </c>
      <c r="R36" s="25">
        <f>R34/R35</f>
        <v>153753.375</v>
      </c>
      <c r="S36" s="25">
        <f>S34/S35</f>
        <v>235003.375</v>
      </c>
      <c r="T36" s="26">
        <f>T34/T35</f>
        <v>241253.375</v>
      </c>
    </row>
    <row r="37" spans="1:20" ht="14.4" x14ac:dyDescent="0.3">
      <c r="A37" s="37" t="s">
        <v>43</v>
      </c>
      <c r="B37" s="37"/>
      <c r="C37" s="21"/>
      <c r="D37" s="101"/>
      <c r="E37" s="111"/>
      <c r="F37" s="124"/>
      <c r="G37" s="137"/>
      <c r="H37" s="124"/>
      <c r="I37" s="124"/>
      <c r="J37" s="124"/>
      <c r="K37" s="124"/>
      <c r="L37" s="124"/>
      <c r="M37" s="124"/>
      <c r="N37" s="124"/>
      <c r="O37" s="123"/>
      <c r="R37" s="51"/>
      <c r="S37" s="36"/>
      <c r="T37" s="51"/>
    </row>
    <row r="38" spans="1:20" ht="14.4" x14ac:dyDescent="0.3">
      <c r="A38" s="37" t="s">
        <v>74</v>
      </c>
      <c r="B38" s="37"/>
      <c r="C38" s="21"/>
      <c r="D38" s="101"/>
      <c r="E38" s="111"/>
      <c r="F38" s="124"/>
      <c r="G38" s="137"/>
      <c r="H38" s="124"/>
      <c r="I38" s="124"/>
      <c r="J38" s="124"/>
      <c r="K38" s="124"/>
      <c r="L38" s="124"/>
      <c r="M38" s="124"/>
      <c r="N38" s="124"/>
      <c r="O38" s="123"/>
      <c r="Q38" s="79" t="s">
        <v>96</v>
      </c>
      <c r="R38" s="51"/>
      <c r="S38" s="36"/>
      <c r="T38" s="51"/>
    </row>
    <row r="39" spans="1:20" ht="14.4" x14ac:dyDescent="0.3">
      <c r="A39" s="37" t="s">
        <v>228</v>
      </c>
      <c r="B39" s="37"/>
      <c r="C39" s="21"/>
      <c r="D39" s="101"/>
      <c r="E39" s="111"/>
      <c r="F39" s="124"/>
      <c r="G39" s="137"/>
      <c r="H39" s="124"/>
      <c r="I39" s="124"/>
      <c r="J39" s="124"/>
      <c r="K39" s="124"/>
      <c r="L39" s="124"/>
      <c r="M39" s="124"/>
      <c r="N39" s="124"/>
      <c r="O39" s="123"/>
      <c r="Q39" s="79"/>
      <c r="R39" s="51"/>
      <c r="S39" s="36"/>
      <c r="T39" s="51"/>
    </row>
    <row r="40" spans="1:20" ht="14.4" x14ac:dyDescent="0.3">
      <c r="A40" s="37" t="s">
        <v>25</v>
      </c>
      <c r="B40" s="37">
        <v>258</v>
      </c>
      <c r="C40" s="21"/>
      <c r="D40" s="101"/>
      <c r="E40" s="111"/>
      <c r="F40" s="124"/>
      <c r="G40" s="137"/>
      <c r="H40" s="124"/>
      <c r="I40" s="124"/>
      <c r="J40" s="124"/>
      <c r="K40" s="124"/>
      <c r="L40" s="124"/>
      <c r="M40" s="124"/>
      <c r="N40" s="124"/>
      <c r="O40" s="123"/>
      <c r="Q40" s="79" t="s">
        <v>99</v>
      </c>
      <c r="R40" s="51"/>
      <c r="S40" s="36"/>
      <c r="T40" s="51"/>
    </row>
    <row r="41" spans="1:20" ht="14.4" x14ac:dyDescent="0.3">
      <c r="A41" s="37" t="s">
        <v>82</v>
      </c>
      <c r="B41" s="37"/>
      <c r="C41" s="21"/>
      <c r="D41" s="101"/>
      <c r="E41" s="111"/>
      <c r="F41" s="124"/>
      <c r="G41" s="137"/>
      <c r="H41" s="124">
        <f>5820+44789+22</f>
        <v>50631</v>
      </c>
      <c r="I41" s="124">
        <f>1496+16080</f>
        <v>17576</v>
      </c>
      <c r="J41" s="124"/>
      <c r="K41" s="124"/>
      <c r="L41" s="124"/>
      <c r="M41" s="124"/>
      <c r="N41" s="124"/>
      <c r="O41" s="123"/>
      <c r="Q41" s="79"/>
      <c r="R41" s="51"/>
      <c r="S41" s="36"/>
      <c r="T41" s="51"/>
    </row>
    <row r="42" spans="1:20" ht="14.4" x14ac:dyDescent="0.3">
      <c r="A42" s="37" t="s">
        <v>89</v>
      </c>
      <c r="B42" s="37"/>
      <c r="C42" s="21"/>
      <c r="D42" s="101"/>
      <c r="E42" s="111"/>
      <c r="F42" s="124"/>
      <c r="G42" s="137"/>
      <c r="H42" s="124"/>
      <c r="I42" s="124"/>
      <c r="J42" s="124"/>
      <c r="K42" s="124"/>
      <c r="L42" s="124"/>
      <c r="M42" s="124"/>
      <c r="N42" s="124"/>
      <c r="O42" s="123"/>
      <c r="R42" s="51"/>
      <c r="S42" s="51"/>
      <c r="T42" s="51"/>
    </row>
    <row r="43" spans="1:20" ht="14.4" x14ac:dyDescent="0.3">
      <c r="A43" s="37" t="s">
        <v>23</v>
      </c>
      <c r="B43" s="37"/>
      <c r="C43" s="21"/>
      <c r="D43" s="101"/>
      <c r="E43" s="111"/>
      <c r="F43" s="124"/>
      <c r="G43" s="137">
        <f>10105</f>
        <v>10105</v>
      </c>
      <c r="H43" s="124"/>
      <c r="I43" s="124"/>
      <c r="J43" s="124">
        <f>10100+12982</f>
        <v>23082</v>
      </c>
      <c r="K43" s="124"/>
      <c r="L43" s="124"/>
      <c r="M43" s="124"/>
      <c r="N43" s="124"/>
      <c r="O43" s="123"/>
      <c r="R43" s="51"/>
      <c r="S43" s="51"/>
      <c r="T43" s="51"/>
    </row>
    <row r="44" spans="1:20" ht="14.4" x14ac:dyDescent="0.3">
      <c r="A44" s="37" t="s">
        <v>259</v>
      </c>
      <c r="B44" s="37"/>
      <c r="C44" s="21"/>
      <c r="D44" s="101"/>
      <c r="E44" s="111"/>
      <c r="F44" s="124"/>
      <c r="G44" s="137"/>
      <c r="H44" s="124"/>
      <c r="I44" s="124"/>
      <c r="J44" s="124"/>
      <c r="K44" s="124"/>
      <c r="L44" s="124"/>
      <c r="M44" s="124">
        <f>21+21</f>
        <v>42</v>
      </c>
      <c r="N44" s="124"/>
      <c r="O44" s="123"/>
      <c r="R44" s="51"/>
      <c r="S44" s="51"/>
      <c r="T44" s="51"/>
    </row>
    <row r="45" spans="1:20" ht="14.4" x14ac:dyDescent="0.3">
      <c r="A45" s="173" t="s">
        <v>21</v>
      </c>
      <c r="B45" s="37"/>
      <c r="C45" s="21"/>
      <c r="D45" s="101"/>
      <c r="E45" s="111"/>
      <c r="F45" s="124"/>
      <c r="G45" s="137"/>
      <c r="H45" s="124"/>
      <c r="I45" s="124"/>
      <c r="J45" s="124"/>
      <c r="K45" s="124"/>
      <c r="L45" s="124"/>
      <c r="M45" s="124"/>
      <c r="N45" s="124">
        <f>35+70</f>
        <v>105</v>
      </c>
      <c r="O45" s="123"/>
      <c r="R45" s="51"/>
      <c r="S45" s="51"/>
      <c r="T45" s="51"/>
    </row>
    <row r="46" spans="1:20" ht="14.4" x14ac:dyDescent="0.3">
      <c r="A46" s="37" t="s">
        <v>260</v>
      </c>
      <c r="B46" s="37"/>
      <c r="C46" s="21"/>
      <c r="D46" s="101"/>
      <c r="E46" s="111"/>
      <c r="F46" s="124"/>
      <c r="G46" s="137"/>
      <c r="H46" s="124"/>
      <c r="I46" s="124"/>
      <c r="J46" s="124"/>
      <c r="K46" s="124"/>
      <c r="L46" s="124"/>
      <c r="M46" s="124">
        <f>1811+20000+25000</f>
        <v>46811</v>
      </c>
      <c r="N46" s="124"/>
      <c r="O46" s="123"/>
      <c r="R46" s="51"/>
      <c r="S46" s="51"/>
      <c r="T46" s="51"/>
    </row>
    <row r="47" spans="1:20" ht="14.4" x14ac:dyDescent="0.3">
      <c r="A47" s="37" t="s">
        <v>261</v>
      </c>
      <c r="B47" s="37"/>
      <c r="C47" s="21"/>
      <c r="D47" s="101"/>
      <c r="E47" s="111"/>
      <c r="F47" s="124"/>
      <c r="G47" s="137"/>
      <c r="H47" s="124"/>
      <c r="I47" s="124"/>
      <c r="J47" s="124"/>
      <c r="K47" s="124"/>
      <c r="L47" s="124"/>
      <c r="M47" s="124">
        <f>4811+17000</f>
        <v>21811</v>
      </c>
      <c r="N47" s="124">
        <f>23327+19443</f>
        <v>42770</v>
      </c>
      <c r="O47" s="123"/>
      <c r="R47" s="51"/>
      <c r="S47" s="51"/>
      <c r="T47" s="51"/>
    </row>
    <row r="48" spans="1:20" ht="14.4" x14ac:dyDescent="0.3">
      <c r="A48" s="37" t="s">
        <v>73</v>
      </c>
      <c r="B48" s="37"/>
      <c r="C48" s="21"/>
      <c r="D48" s="101"/>
      <c r="E48" s="111"/>
      <c r="F48" s="124"/>
      <c r="G48" s="137"/>
      <c r="H48" s="124"/>
      <c r="I48" s="124"/>
      <c r="J48" s="124"/>
      <c r="K48" s="124"/>
      <c r="L48" s="124"/>
      <c r="M48" s="124"/>
      <c r="N48" s="124"/>
      <c r="O48" s="123"/>
      <c r="R48" s="51"/>
      <c r="S48" s="51"/>
      <c r="T48" s="51"/>
    </row>
    <row r="49" spans="1:20" ht="14.4" x14ac:dyDescent="0.3">
      <c r="A49" s="37" t="s">
        <v>78</v>
      </c>
      <c r="B49" s="37"/>
      <c r="C49" s="21"/>
      <c r="D49" s="101"/>
      <c r="E49" s="111"/>
      <c r="F49" s="124"/>
      <c r="G49" s="137"/>
      <c r="H49" s="124"/>
      <c r="I49" s="124"/>
      <c r="J49" s="124"/>
      <c r="K49" s="124"/>
      <c r="L49" s="124"/>
      <c r="M49" s="124"/>
      <c r="N49" s="124"/>
      <c r="O49" s="123"/>
    </row>
    <row r="50" spans="1:20" ht="15" thickBot="1" x14ac:dyDescent="0.35">
      <c r="A50" s="37" t="s">
        <v>227</v>
      </c>
      <c r="B50" s="37"/>
      <c r="C50" s="21"/>
      <c r="D50" s="101"/>
      <c r="E50" s="111"/>
      <c r="F50" s="124"/>
      <c r="G50" s="137"/>
      <c r="H50" s="124">
        <f>24998</f>
        <v>24998</v>
      </c>
      <c r="I50" s="124"/>
      <c r="J50" s="124">
        <f>20000</f>
        <v>20000</v>
      </c>
      <c r="K50" s="124"/>
      <c r="L50" s="124"/>
      <c r="M50" s="124"/>
      <c r="N50" s="124"/>
      <c r="O50" s="123"/>
      <c r="Q50" s="1" t="s">
        <v>55</v>
      </c>
    </row>
    <row r="51" spans="1:20" ht="14.4" x14ac:dyDescent="0.3">
      <c r="A51" s="37" t="s">
        <v>92</v>
      </c>
      <c r="B51" s="37">
        <v>31000</v>
      </c>
      <c r="C51" s="21"/>
      <c r="D51" s="101"/>
      <c r="E51" s="111"/>
      <c r="F51" s="124"/>
      <c r="G51" s="137"/>
      <c r="H51" s="124">
        <f>17289+14711</f>
        <v>32000</v>
      </c>
      <c r="I51" s="124"/>
      <c r="J51" s="124"/>
      <c r="K51" s="124"/>
      <c r="L51" s="124"/>
      <c r="M51" s="124"/>
      <c r="N51" s="124"/>
      <c r="O51" s="123"/>
      <c r="Q51" s="33"/>
      <c r="R51" s="23" t="s">
        <v>47</v>
      </c>
      <c r="S51" s="23" t="s">
        <v>98</v>
      </c>
      <c r="T51" s="24" t="s">
        <v>52</v>
      </c>
    </row>
    <row r="52" spans="1:20" ht="14.4" x14ac:dyDescent="0.3">
      <c r="A52" s="37" t="s">
        <v>16</v>
      </c>
      <c r="B52" s="37"/>
      <c r="C52" s="21"/>
      <c r="D52" s="101"/>
      <c r="E52" s="111"/>
      <c r="F52" s="124"/>
      <c r="G52" s="137">
        <f>30+225+33</f>
        <v>288</v>
      </c>
      <c r="H52" s="124"/>
      <c r="I52" s="124"/>
      <c r="J52" s="124"/>
      <c r="K52" s="124"/>
      <c r="L52" s="124"/>
      <c r="M52" s="124"/>
      <c r="N52" s="124"/>
      <c r="O52" s="123">
        <f>68+69</f>
        <v>137</v>
      </c>
      <c r="Q52" s="39" t="s">
        <v>56</v>
      </c>
      <c r="R52" s="94">
        <v>1400000</v>
      </c>
      <c r="S52" s="94">
        <v>1600000</v>
      </c>
      <c r="T52" s="94">
        <v>1800000</v>
      </c>
    </row>
    <row r="53" spans="1:20" ht="14.4" x14ac:dyDescent="0.3">
      <c r="A53" s="38" t="s">
        <v>62</v>
      </c>
      <c r="B53" s="38">
        <f>SUM(B9:B51)</f>
        <v>1731243</v>
      </c>
      <c r="C53" s="99">
        <f>SUM(C9:C35)</f>
        <v>1395153</v>
      </c>
      <c r="D53" s="103">
        <f t="shared" ref="D53:I53" si="0">SUM(D9:D52)</f>
        <v>901227</v>
      </c>
      <c r="E53" s="110">
        <f t="shared" si="0"/>
        <v>536014</v>
      </c>
      <c r="F53" s="125">
        <f t="shared" si="0"/>
        <v>456646</v>
      </c>
      <c r="G53" s="138">
        <f t="shared" si="0"/>
        <v>525079</v>
      </c>
      <c r="H53" s="125">
        <f t="shared" si="0"/>
        <v>769973</v>
      </c>
      <c r="I53" s="125">
        <f t="shared" si="0"/>
        <v>468657</v>
      </c>
      <c r="J53" s="124">
        <f t="shared" ref="J53:O53" si="1">SUM(J9:J52)</f>
        <v>1018191</v>
      </c>
      <c r="K53" s="124">
        <f t="shared" si="1"/>
        <v>1117073</v>
      </c>
      <c r="L53" s="124">
        <f t="shared" si="1"/>
        <v>724598</v>
      </c>
      <c r="M53" s="124">
        <f t="shared" si="1"/>
        <v>1490776</v>
      </c>
      <c r="N53" s="124">
        <f t="shared" si="1"/>
        <v>1249746</v>
      </c>
      <c r="O53" s="171">
        <f t="shared" si="1"/>
        <v>1294831</v>
      </c>
      <c r="P53" s="171">
        <f>'Weekliks-Weekly'!M52</f>
        <v>1294831</v>
      </c>
      <c r="Q53" s="58" t="s">
        <v>128</v>
      </c>
      <c r="R53" s="21">
        <f>H95</f>
        <v>1476701</v>
      </c>
      <c r="S53" s="21">
        <f>H95</f>
        <v>1476701</v>
      </c>
      <c r="T53" s="34">
        <f>F95</f>
        <v>210799</v>
      </c>
    </row>
    <row r="54" spans="1:20" ht="14.4" x14ac:dyDescent="0.3">
      <c r="E54" s="104"/>
      <c r="H54" s="98"/>
      <c r="K54" s="163"/>
      <c r="L54" s="163"/>
      <c r="P54" s="20"/>
      <c r="Q54" s="28" t="s">
        <v>49</v>
      </c>
      <c r="R54" s="21">
        <f>R52-R53</f>
        <v>-76701</v>
      </c>
      <c r="S54" s="21">
        <f>S52-S53</f>
        <v>123299</v>
      </c>
      <c r="T54" s="34">
        <f>T52-T53</f>
        <v>1589201</v>
      </c>
    </row>
    <row r="55" spans="1:20" ht="14.4" x14ac:dyDescent="0.3">
      <c r="A55" s="1" t="s">
        <v>6</v>
      </c>
      <c r="B55" s="1"/>
      <c r="C55" s="1"/>
      <c r="D55" s="1"/>
      <c r="H55" s="66"/>
      <c r="K55" s="163"/>
      <c r="L55" s="163" t="s">
        <v>2</v>
      </c>
      <c r="M55" s="172" t="s">
        <v>2</v>
      </c>
      <c r="N55" s="1" t="s">
        <v>244</v>
      </c>
      <c r="O55" s="1" t="s">
        <v>244</v>
      </c>
      <c r="Q55" s="28" t="s">
        <v>50</v>
      </c>
      <c r="R55" s="21">
        <f>$R$35</f>
        <v>8</v>
      </c>
      <c r="S55" s="21">
        <f>$R$35</f>
        <v>8</v>
      </c>
      <c r="T55" s="34">
        <f>$R$35</f>
        <v>8</v>
      </c>
    </row>
    <row r="56" spans="1:20" ht="13.8" thickBot="1" x14ac:dyDescent="0.3">
      <c r="B56" s="86" t="s">
        <v>104</v>
      </c>
      <c r="C56" s="86" t="s">
        <v>105</v>
      </c>
      <c r="D56" s="157" t="s">
        <v>108</v>
      </c>
      <c r="E56" s="156" t="s">
        <v>112</v>
      </c>
      <c r="F56" s="156" t="s">
        <v>111</v>
      </c>
      <c r="G56" s="156" t="s">
        <v>126</v>
      </c>
      <c r="H56" s="158" t="s">
        <v>223</v>
      </c>
      <c r="I56" s="156" t="s">
        <v>230</v>
      </c>
      <c r="J56" s="156" t="s">
        <v>240</v>
      </c>
      <c r="K56" s="156" t="s">
        <v>240</v>
      </c>
      <c r="L56" s="156" t="s">
        <v>246</v>
      </c>
      <c r="M56" s="156" t="s">
        <v>258</v>
      </c>
      <c r="N56" s="156" t="s">
        <v>266</v>
      </c>
      <c r="O56" s="156" t="s">
        <v>270</v>
      </c>
      <c r="Q56" s="35" t="s">
        <v>51</v>
      </c>
      <c r="R56" s="25">
        <f>R54/R55</f>
        <v>-9587.625</v>
      </c>
      <c r="S56" s="25">
        <f>S54/S55</f>
        <v>15412.375</v>
      </c>
      <c r="T56" s="26">
        <f>T54/T55</f>
        <v>198650.125</v>
      </c>
    </row>
    <row r="57" spans="1:20" ht="14.4" x14ac:dyDescent="0.3">
      <c r="A57" s="37" t="s">
        <v>15</v>
      </c>
      <c r="B57" s="37">
        <v>6587</v>
      </c>
      <c r="C57" s="65">
        <f>15+593+506+514+2+172+104+492+454+220+228+781+182+405+743+1096+189+228+819+50+301+274+56+3+160+223+56+36+279+5</f>
        <v>9186</v>
      </c>
      <c r="D57" s="101">
        <f>432+66+344+134+148+212+250+640+33+32+35+159+679+19+135+2137+176+137+560+726+209+15+36+248+166+439+324+121+34+168</f>
        <v>8814</v>
      </c>
      <c r="E57" s="101">
        <v>7506</v>
      </c>
      <c r="F57" s="124">
        <f>748+34+694+396+440+317+704+484+440+968+484+484+484+484+484+968+660+880+616+484+484</f>
        <v>11737</v>
      </c>
      <c r="G57" s="137">
        <f>45+34+42+34+6+34+61+20+1012+979+1470+49+58+527+484+774+572+1188+851+660+949+440+799+771+357+469</f>
        <v>12685</v>
      </c>
      <c r="H57" s="124">
        <f>10+176+18+440+6+440+487+3</f>
        <v>1580</v>
      </c>
      <c r="I57" s="124">
        <f>5+395+12+533+15+466+96+234+480+904+166+509+419+34+204+137+647+240+240+1092+337+131</f>
        <v>7296</v>
      </c>
      <c r="J57" s="124">
        <f>556+924+616+414+159+37+484+320+949+20+489+264+977+826+412+536+275+2167+521+7+26+792+14+704+12+20+21+18+36+23+19+26</f>
        <v>12664</v>
      </c>
      <c r="K57" s="124">
        <f>57+12+1311+440+6+111+150+224+288+1421+347+172+633+428+793+339+418+138+140+209+105+23+572+482+30+11+12+520+60</f>
        <v>9452</v>
      </c>
      <c r="L57" s="124">
        <f>8+20+5+12+15+17+9+12+55+50+55+67</f>
        <v>325</v>
      </c>
      <c r="M57" s="124">
        <f>5+38+6+6+11+7+11+11+5+3+69+96+201+136+3+132+880+814+432+271+265+144+103+409+287+240+271+268+636+268+815+136+135+34+174+212+276+201+201+242+44+32+113+237+3</f>
        <v>8883</v>
      </c>
      <c r="N57" s="124">
        <f>9+11+2+17+14+6+3+6+3+3+36+654+5+307+8+12+3+3+4+23+33</f>
        <v>1162</v>
      </c>
      <c r="O57" s="123">
        <f>66+218+449+400+292+316+70+590+342+18+8+3+8+52+482+18+1030+245+383</f>
        <v>4990</v>
      </c>
      <c r="R57" s="51"/>
      <c r="S57" s="36"/>
      <c r="T57" s="51"/>
    </row>
    <row r="58" spans="1:20" ht="14.4" x14ac:dyDescent="0.3">
      <c r="A58" s="37" t="s">
        <v>18</v>
      </c>
      <c r="B58" s="37">
        <v>14833</v>
      </c>
      <c r="C58" s="65">
        <f>442+352+471+159+522+155+97+223+98+1208+427+220+251+320+451+535+294+1020+1115+271+326+258+513+168+181+35+47+255+1680+791+1175+749+394+958+83+84+82+27+511+427+400</f>
        <v>17775</v>
      </c>
      <c r="D58" s="101">
        <f>104+81+631+231+213+199+138+220+979+131+507+487+461+1509+410+771+288+1886+496+624+850+1081+544+865+409+194+124+205+197+169+639+362+433+364+735+911+168+570+1013+550+381+793+183+164+67+110+95</f>
        <v>22542</v>
      </c>
      <c r="E58" s="101">
        <v>24483</v>
      </c>
      <c r="F58" s="124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7">
        <f>235+241+1120+329+492+842+101+227+554+859+468+273+143+203+367+132+1909+956+675+348+508+588+570+536+498+295+1238+102+477+175+348+170+267+207+800+931+539+744+203+206+1185+1131+885+296+730+1078+803+811</f>
        <v>26795</v>
      </c>
      <c r="H58" s="124">
        <f>499+589+492+655+625+570+159+760+991+445+237+467+535+510+269+501+102+914+134+247+237+512+770+1239+539+235+540+131+32+394+1070+473+344+542+163+70+318+434+1307+1308+301+9+134+204+160+62+374+215+98</f>
        <v>21916</v>
      </c>
      <c r="I58" s="124">
        <f>378+431+1056+1195+1017+926+519+880+371+1897+582+492+590+588+472+643+854+1280+951+537+896+379+408+1030+913+1079+920+271+374+306+261+1080+274+373+714+339+356+697+764+395+382+432+1125+441</f>
        <v>29868</v>
      </c>
      <c r="J58" s="124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4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4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4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4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3">
        <f>622+1108+1350+1287+3547+1230+1004+2039+1012+3481+2547+271+2518+2726+4139+2032+418+1725+2201+1974+1298+673+316+583+1587+1018+1040+828+1397+628+1141+2158+1634+1081+407+537+1309+2511+1069+1392+1314+1605+1936+1678</f>
        <v>66371</v>
      </c>
      <c r="Q58" s="79" t="s">
        <v>96</v>
      </c>
      <c r="R58" s="51"/>
      <c r="S58" s="36"/>
      <c r="T58" s="51"/>
    </row>
    <row r="59" spans="1:20" ht="14.4" x14ac:dyDescent="0.3">
      <c r="A59" s="37" t="s">
        <v>241</v>
      </c>
      <c r="B59" s="37">
        <v>55618</v>
      </c>
      <c r="C59" s="65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101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101">
        <v>45076</v>
      </c>
      <c r="F59" s="124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7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4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4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4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4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4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4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4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3">
        <f>1505+1994+1833+1789+1241+1243+1797+2559+1861+936+1479+1966+2385+2748+2188+1545+1907+1622+2514+1766+1589+1478+2339+1630+1272+1802+1834+1626+2011+1705+1607+621+1188+1473+1723+1729+1847+1916+1804+2057+1470+2164+1975+1116</f>
        <v>76854</v>
      </c>
      <c r="Q59" s="79" t="s">
        <v>99</v>
      </c>
    </row>
    <row r="60" spans="1:20" ht="14.4" x14ac:dyDescent="0.3">
      <c r="A60" s="37" t="s">
        <v>17</v>
      </c>
      <c r="B60" s="37">
        <v>15632</v>
      </c>
      <c r="C60" s="65">
        <f>351+605+233+305+817+415+277+384+367+848+1059+1094+689+993+572+818+73+1858+1438+1599+1054+1189+664+565+719+322+922+570+477+461+256+152+398+605+389+694+154+531+395+336+669+471+699+566+330+125+873+139+136+279</f>
        <v>29935</v>
      </c>
      <c r="D60" s="101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101">
        <v>37518</v>
      </c>
      <c r="F60" s="124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7">
        <f>215+224+301+248+200+130+165+66+144+441+463+294+291+1198+277+143+1423+231+312+227+343+594+946+682+29+138+66+25+162+589+419+297+387+457+1+35+35+36+116+183+255+290+481+502+501+133+296</f>
        <v>14991</v>
      </c>
      <c r="H60" s="124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4">
        <f>1373+1525+1030+1146+1014+1019+1011+1134+157+1248+1677+1556+1457+775+529+786+1611+1312+1047+488+392+280+374+295+380+482+464+1068+861+639+626+1190+557+468+1076+1110+1065+785+893+1510+331+143+307</f>
        <v>37191</v>
      </c>
      <c r="J60" s="124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4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4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4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4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3">
        <f>1317+1255+709+1278+1626+1087+944+702+698+719+889+1212+1054+1826+1506+1460+1135+1601+2476+1165+926+1372+2453+959+1757+960+1044+762+1760+1321+1518+2141+1355+1135+629+2016+849+1160+1920+1467+894+752+203+304</f>
        <v>54316</v>
      </c>
    </row>
    <row r="61" spans="1:20" ht="14.4" x14ac:dyDescent="0.3">
      <c r="A61" s="37" t="s">
        <v>12</v>
      </c>
      <c r="B61" s="37">
        <v>22153</v>
      </c>
      <c r="C61" s="65">
        <f>540+329+759+511+168+346+135+401+270+406+532+201+416+716+209+318+544+1004+287+269+934+901+534+878+844+1100+725+688+590+1335+1240+418+2824+1226+1603+825+1233+861+1339+1503+411+528+1620+679+635+491+636+930+322</f>
        <v>36214</v>
      </c>
      <c r="D61" s="101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101">
        <v>30126</v>
      </c>
      <c r="F61" s="124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7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4">
        <f>235+162+435+304+658+363+748+470+606+258+422+299+289+371+247+278+89+1091+339+242+292+208+210+540+395+132+36+169+180+11+158+179+83+204+71+134+27+57+34+592+141+34+224+168+1850+915+943+510+551+1039</f>
        <v>17993</v>
      </c>
      <c r="I61" s="124">
        <f>1445+2094+674+1059+1447+1725+1958+997+290+273+466+868+771+329+587+366+834+490+497+723+541+70+493+664+241+395+423+315+243+273+248+767+130+518+386+677+457+726+173+130+2076+524+537+135</f>
        <v>29035</v>
      </c>
      <c r="J61" s="124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4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4">
        <f>159+97+99+128+1164+64+35+115+935+30+69+92+1298+1+160+31+317+28+97+717+68+34+533+67+68+276+68+241+70+232+71+100+208+599+172+102+353+1135+472+483+480</f>
        <v>11468</v>
      </c>
      <c r="M61" s="124">
        <f>1406+1625+1053+713+654+810+1300+1110+1362+557+828+1586+1627+1384+1307+1554+1103+1085+1766+1503+460+32+100+32+35+34+45+35+35+6+90+316+35+107+341+33+34+125+101+68+121+33+32+33+369+321+63</f>
        <v>27369</v>
      </c>
      <c r="N61" s="124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3">
        <f>2987+1162+2214+2051+3834+36+1282+2791+546+2455+1269+1564+2531+2819+1820+2308+2211+2227+2933+1753+2185+2259+2632+2109+1274+1837+2844+2671+1769+2458+2130+1744+1922+1755+2440+2297+1274+2066+1858+2005+2424+2318+905+1309</f>
        <v>89278</v>
      </c>
    </row>
    <row r="62" spans="1:20" ht="15" thickBot="1" x14ac:dyDescent="0.35">
      <c r="A62" s="63" t="s">
        <v>224</v>
      </c>
      <c r="B62" s="37">
        <v>161550</v>
      </c>
      <c r="C62" s="65">
        <f>31849+21249+27982</f>
        <v>81080</v>
      </c>
      <c r="D62" s="101">
        <f>236+4206+2320+14699+21493+23043+26457+20376+54124+1726</f>
        <v>168680</v>
      </c>
      <c r="E62" s="101">
        <v>679185</v>
      </c>
      <c r="F62" s="124"/>
      <c r="G62" s="137"/>
      <c r="H62" s="124">
        <f>12779+27898+7311+53225+66100+40001+36317+18283</f>
        <v>261914</v>
      </c>
      <c r="I62" s="124">
        <f>54399+51999</f>
        <v>106398</v>
      </c>
      <c r="J62" s="124"/>
      <c r="K62" s="124">
        <f>8891+44641+56118+13109+41491+52489+22512+32088+21400+30450</f>
        <v>323189</v>
      </c>
      <c r="L62" s="124">
        <f>9205+10001+55000+53132+32042+44157+75547+13060+46758+17913+45262+54550+24060+30290+46821+3074+6056+52010+35106+18780+55000+54000+52700</f>
        <v>834524</v>
      </c>
      <c r="M62" s="124">
        <f>31992+100221+51648+51501+2477+31226+23531+47728+4785+55300+54230+32203+23669+10226+44224+32486+77964+23512+21087</f>
        <v>720010</v>
      </c>
      <c r="N62" s="124">
        <f>52478+20385+32083+7717+31863+23638+23651+25915+6225+13039+28442+54980+24500+47723+36877+33570</f>
        <v>463086</v>
      </c>
      <c r="O62" s="123"/>
      <c r="Q62" s="1" t="s">
        <v>57</v>
      </c>
    </row>
    <row r="63" spans="1:20" ht="14.4" x14ac:dyDescent="0.3">
      <c r="A63" s="42" t="s">
        <v>24</v>
      </c>
      <c r="B63" s="42">
        <v>48880</v>
      </c>
      <c r="C63" s="65">
        <f>25083+24806+39128+27873+22427</f>
        <v>139317</v>
      </c>
      <c r="D63" s="101">
        <f>18608+30231+50170+2930+92055+7681+84537+77568+54112+24125+34803+39324+29995+45209+4967</f>
        <v>596315</v>
      </c>
      <c r="E63" s="101">
        <v>198197</v>
      </c>
      <c r="F63" s="124"/>
      <c r="G63" s="137"/>
      <c r="H63" s="125">
        <f>10250+40114+36227+39306+55248+22494+47041+5682+1846+51254+34370+11130+52611+22466+57016+99855+53806+74644+28124+2398+19786</f>
        <v>765668</v>
      </c>
      <c r="I63" s="125">
        <f>51000+26957+23135+50425</f>
        <v>151517</v>
      </c>
      <c r="J63" s="124"/>
      <c r="K63" s="124">
        <f>30685+21955+34334+15776+39311+10719+7695+44775</f>
        <v>205250</v>
      </c>
      <c r="L63" s="124">
        <f>32459+18294+27805+22845+28298+53428+23937+52460+52155+19755+82796+6370+101747+85190+61911+52133+55000+48240</f>
        <v>824823</v>
      </c>
      <c r="M63" s="124">
        <f>50146+24477+28273+34402+15013+14317+33995+9192+68604+51520+54262+53047+59513+32722+30962+44701</f>
        <v>605146</v>
      </c>
      <c r="N63" s="124">
        <f>30131+23009+6802+24368+20000+113666+84008+12419+61515+19250+20001+22580+30554</f>
        <v>468303</v>
      </c>
      <c r="O63" s="171"/>
      <c r="Q63" s="33"/>
      <c r="R63" s="23" t="s">
        <v>47</v>
      </c>
      <c r="S63" s="23" t="s">
        <v>53</v>
      </c>
      <c r="T63" s="24" t="s">
        <v>52</v>
      </c>
    </row>
    <row r="64" spans="1:20" ht="14.4" x14ac:dyDescent="0.3">
      <c r="A64" s="173" t="s">
        <v>262</v>
      </c>
      <c r="B64" s="42"/>
      <c r="C64" s="65"/>
      <c r="D64" s="101"/>
      <c r="E64" s="101"/>
      <c r="F64" s="124"/>
      <c r="G64" s="137"/>
      <c r="H64" s="125"/>
      <c r="I64" s="125"/>
      <c r="J64" s="124"/>
      <c r="K64" s="124"/>
      <c r="L64" s="124"/>
      <c r="M64" s="124">
        <f>26652+81452</f>
        <v>108104</v>
      </c>
      <c r="N64" s="124">
        <f>26953+16628+11972+55960</f>
        <v>111513</v>
      </c>
      <c r="O64" s="171"/>
      <c r="Q64" s="39" t="s">
        <v>58</v>
      </c>
      <c r="R64" s="40">
        <f>R52+R32</f>
        <v>3400000</v>
      </c>
      <c r="S64" s="40">
        <f>S52+S32</f>
        <v>4250000</v>
      </c>
      <c r="T64" s="41">
        <f>T52+T32</f>
        <v>4500000</v>
      </c>
    </row>
    <row r="65" spans="1:22" ht="14.4" x14ac:dyDescent="0.3">
      <c r="A65" s="42" t="s">
        <v>21</v>
      </c>
      <c r="B65" s="42"/>
      <c r="C65" s="105"/>
      <c r="D65" s="102">
        <v>1009</v>
      </c>
      <c r="E65" s="102">
        <v>1011</v>
      </c>
      <c r="F65" s="125"/>
      <c r="G65" s="138"/>
      <c r="H65" s="125">
        <f>102+345+172+782+782+299</f>
        <v>2482</v>
      </c>
      <c r="I65" s="125"/>
      <c r="J65" s="124">
        <f>481</f>
        <v>481</v>
      </c>
      <c r="K65" s="124"/>
      <c r="L65" s="124">
        <f>35+35+35+3013+643+1416+2079+35+35+1176+238+68+1013+125+992+34+34+102+34+1013+68+102+34+1000+991+993+1105</f>
        <v>16448</v>
      </c>
      <c r="M65" s="124">
        <f>1983+1978+1488+499+35</f>
        <v>5983</v>
      </c>
      <c r="N65" s="124"/>
      <c r="O65" s="171"/>
      <c r="Q65" s="58" t="s">
        <v>131</v>
      </c>
      <c r="R65" s="21">
        <f>H95+H53</f>
        <v>2246674</v>
      </c>
      <c r="S65" s="21">
        <f>R65</f>
        <v>2246674</v>
      </c>
      <c r="T65" s="34">
        <f>S65</f>
        <v>2246674</v>
      </c>
    </row>
    <row r="66" spans="1:22" ht="14.4" x14ac:dyDescent="0.3">
      <c r="A66" s="37" t="s">
        <v>103</v>
      </c>
      <c r="B66" s="37">
        <v>229</v>
      </c>
      <c r="C66" s="65"/>
      <c r="D66" s="101"/>
      <c r="E66" s="101"/>
      <c r="F66" s="124"/>
      <c r="G66" s="137"/>
      <c r="H66" s="124"/>
      <c r="I66" s="124"/>
      <c r="J66" s="124"/>
      <c r="K66" s="124"/>
      <c r="L66" s="124"/>
      <c r="M66" s="124"/>
      <c r="N66" s="124"/>
      <c r="O66" s="123"/>
      <c r="Q66" s="28" t="s">
        <v>49</v>
      </c>
      <c r="R66" s="21">
        <f>R64-R65</f>
        <v>1153326</v>
      </c>
      <c r="S66" s="21">
        <f>S64-S65</f>
        <v>2003326</v>
      </c>
      <c r="T66" s="34">
        <f>T64-T65</f>
        <v>2253326</v>
      </c>
    </row>
    <row r="67" spans="1:22" ht="14.4" x14ac:dyDescent="0.3">
      <c r="A67" s="63" t="s">
        <v>81</v>
      </c>
      <c r="B67" s="63">
        <v>28100</v>
      </c>
      <c r="C67" s="65"/>
      <c r="D67" s="101"/>
      <c r="E67" s="101"/>
      <c r="F67" s="124"/>
      <c r="G67" s="137"/>
      <c r="H67" s="124"/>
      <c r="I67" s="124"/>
      <c r="J67" s="124"/>
      <c r="K67" s="124"/>
      <c r="L67" s="124"/>
      <c r="M67" s="124"/>
      <c r="N67" s="124"/>
      <c r="O67" s="123"/>
      <c r="Q67" s="28" t="s">
        <v>50</v>
      </c>
      <c r="R67" s="21">
        <f>$R$35</f>
        <v>8</v>
      </c>
      <c r="S67" s="21">
        <f>$R$35</f>
        <v>8</v>
      </c>
      <c r="T67" s="34">
        <f>$R$35</f>
        <v>8</v>
      </c>
    </row>
    <row r="68" spans="1:22" ht="15" thickBot="1" x14ac:dyDescent="0.35">
      <c r="A68" s="63" t="s">
        <v>42</v>
      </c>
      <c r="B68" s="63"/>
      <c r="C68" s="65"/>
      <c r="D68" s="101">
        <f>382+452+516</f>
        <v>1350</v>
      </c>
      <c r="E68" s="101">
        <v>3540</v>
      </c>
      <c r="F68" s="124"/>
      <c r="G68" s="137"/>
      <c r="H68" s="124"/>
      <c r="I68" s="124"/>
      <c r="J68" s="124"/>
      <c r="K68" s="124"/>
      <c r="L68" s="124"/>
      <c r="M68" s="124"/>
      <c r="N68" s="124"/>
      <c r="O68" s="123"/>
      <c r="Q68" s="35" t="s">
        <v>51</v>
      </c>
      <c r="R68" s="25">
        <f>R66/R67</f>
        <v>144165.75</v>
      </c>
      <c r="S68" s="25">
        <f>S66/S67</f>
        <v>250415.75</v>
      </c>
      <c r="T68" s="26">
        <f>T66/T67</f>
        <v>281665.75</v>
      </c>
    </row>
    <row r="69" spans="1:22" ht="14.4" x14ac:dyDescent="0.3">
      <c r="A69" s="42" t="s">
        <v>75</v>
      </c>
      <c r="B69" s="42"/>
      <c r="C69" s="65"/>
      <c r="D69" s="101"/>
      <c r="E69" s="101"/>
      <c r="F69" s="124"/>
      <c r="G69" s="137"/>
      <c r="H69" s="124"/>
      <c r="I69" s="124"/>
      <c r="J69" s="124"/>
      <c r="K69" s="124"/>
      <c r="L69" s="124"/>
      <c r="M69" s="124"/>
      <c r="N69" s="124"/>
      <c r="O69" s="123"/>
    </row>
    <row r="70" spans="1:22" ht="14.4" x14ac:dyDescent="0.3">
      <c r="A70" s="63" t="s">
        <v>38</v>
      </c>
      <c r="B70" s="63">
        <v>7700</v>
      </c>
      <c r="C70" s="65"/>
      <c r="D70" s="101"/>
      <c r="E70" s="101"/>
      <c r="F70" s="124"/>
      <c r="G70" s="137"/>
      <c r="H70" s="124">
        <f>301</f>
        <v>301</v>
      </c>
      <c r="I70" s="124">
        <f>20000</f>
        <v>20000</v>
      </c>
      <c r="J70" s="124"/>
      <c r="K70" s="124"/>
      <c r="L70" s="124">
        <f>9505</f>
        <v>9505</v>
      </c>
      <c r="M70" s="124">
        <v>0</v>
      </c>
      <c r="N70" s="124">
        <f>654+1315</f>
        <v>1969</v>
      </c>
      <c r="O70" s="123"/>
      <c r="P70" s="2"/>
      <c r="R70" s="51"/>
      <c r="S70" s="57"/>
      <c r="T70" s="51"/>
    </row>
    <row r="71" spans="1:22" ht="14.4" x14ac:dyDescent="0.3">
      <c r="A71" s="63" t="s">
        <v>106</v>
      </c>
      <c r="B71" s="63"/>
      <c r="C71" s="65"/>
      <c r="D71" s="101"/>
      <c r="E71" s="101"/>
      <c r="F71" s="124">
        <f>1104+543+810+36+788</f>
        <v>3281</v>
      </c>
      <c r="G71" s="137"/>
      <c r="H71" s="124"/>
      <c r="I71" s="124"/>
      <c r="J71" s="124"/>
      <c r="K71" s="124"/>
      <c r="L71" s="124"/>
      <c r="M71" s="124"/>
      <c r="N71" s="124"/>
      <c r="O71" s="123"/>
      <c r="P71" s="2"/>
      <c r="R71" s="51"/>
      <c r="S71" s="57"/>
      <c r="T71" s="51"/>
    </row>
    <row r="72" spans="1:22" ht="14.4" x14ac:dyDescent="0.3">
      <c r="A72" s="63" t="s">
        <v>107</v>
      </c>
      <c r="B72" s="63">
        <v>302259</v>
      </c>
      <c r="C72" s="65">
        <f>594+1100+5818+12152</f>
        <v>19664</v>
      </c>
      <c r="D72" s="101">
        <f>2544+29810+36024+30166+49500</f>
        <v>148044</v>
      </c>
      <c r="E72" s="101">
        <v>214474</v>
      </c>
      <c r="F72" s="124">
        <f>2277</f>
        <v>2277</v>
      </c>
      <c r="G72" s="137">
        <f>506+828+483+1932+691+510+530+483</f>
        <v>5963</v>
      </c>
      <c r="H72" s="124">
        <f>644+828+828</f>
        <v>2300</v>
      </c>
      <c r="I72" s="124"/>
      <c r="J72" s="124"/>
      <c r="K72" s="124"/>
      <c r="L72" s="124"/>
      <c r="M72" s="124"/>
      <c r="N72" s="124"/>
      <c r="O72" s="123"/>
      <c r="V72" s="1"/>
    </row>
    <row r="73" spans="1:22" ht="14.4" x14ac:dyDescent="0.3">
      <c r="A73" s="63" t="s">
        <v>225</v>
      </c>
      <c r="B73" s="63"/>
      <c r="C73" s="65"/>
      <c r="D73" s="101"/>
      <c r="E73" s="101"/>
      <c r="F73" s="124"/>
      <c r="G73" s="137"/>
      <c r="H73" s="124">
        <f>11313+40938+53280+39974+13319+25257+27863</f>
        <v>211944</v>
      </c>
      <c r="I73" s="124">
        <f>2106+590+391+576+307+399+195+200+399+8210+39332+53700+36010+17490+54800</f>
        <v>214705</v>
      </c>
      <c r="J73" s="124">
        <f>513+483+989+84+322+1465+483+490+532+492+496</f>
        <v>6349</v>
      </c>
      <c r="K73" s="124">
        <f>12751+88323+4701+54094+31686+38182+22125+16475+12942+40501+41337+508</f>
        <v>363625</v>
      </c>
      <c r="L73" s="124">
        <f>15250+30536+9788+495+248+275+54130+248+371+124+36118+17023+9923+46821+249+55346+15950+40075+50925+500+500+34857+10643</f>
        <v>430395</v>
      </c>
      <c r="M73" s="124">
        <f>25006+21556+31166+52075</f>
        <v>129803</v>
      </c>
      <c r="N73" s="124">
        <f>56211+32529+52830+53033+65447+4532+78700+51399+24015+29648+13914+29994</f>
        <v>492252</v>
      </c>
      <c r="O73" s="123"/>
      <c r="V73" s="1"/>
    </row>
    <row r="74" spans="1:22" ht="14.4" x14ac:dyDescent="0.3">
      <c r="A74" s="63" t="s">
        <v>239</v>
      </c>
      <c r="B74" s="63"/>
      <c r="C74" s="65"/>
      <c r="D74" s="101"/>
      <c r="E74" s="101"/>
      <c r="F74" s="124"/>
      <c r="G74" s="137"/>
      <c r="H74" s="124"/>
      <c r="I74" s="124">
        <f>304+506+552+943+23+207+506+483+598</f>
        <v>4122</v>
      </c>
      <c r="J74" s="124">
        <f>968+483+463+969+462+833+629+506+484+2231+276</f>
        <v>8304</v>
      </c>
      <c r="K74" s="124"/>
      <c r="L74" s="124"/>
      <c r="M74" s="124"/>
      <c r="N74" s="124"/>
      <c r="O74" s="123"/>
      <c r="V74" s="1"/>
    </row>
    <row r="75" spans="1:22" ht="14.4" x14ac:dyDescent="0.3">
      <c r="A75" s="63" t="s">
        <v>73</v>
      </c>
      <c r="B75" s="37"/>
      <c r="C75" s="65"/>
      <c r="D75" s="101"/>
      <c r="E75" s="101"/>
      <c r="F75" s="124"/>
      <c r="G75" s="137"/>
      <c r="H75" s="124"/>
      <c r="I75" s="124"/>
      <c r="J75" s="124"/>
      <c r="K75" s="124"/>
      <c r="L75" s="124"/>
      <c r="M75" s="124"/>
      <c r="N75" s="124"/>
      <c r="O75" s="123"/>
      <c r="V75" s="52"/>
    </row>
    <row r="76" spans="1:22" ht="14.4" x14ac:dyDescent="0.3">
      <c r="A76" s="37" t="s">
        <v>74</v>
      </c>
      <c r="B76" s="37"/>
      <c r="C76" s="65"/>
      <c r="D76" s="101"/>
      <c r="E76" s="101"/>
      <c r="F76" s="124"/>
      <c r="G76" s="137"/>
      <c r="H76" s="124"/>
      <c r="I76" s="124"/>
      <c r="J76" s="124"/>
      <c r="K76" s="124"/>
      <c r="L76" s="124"/>
      <c r="M76" s="124"/>
      <c r="N76" s="124"/>
      <c r="O76" s="123"/>
      <c r="V76" s="52"/>
    </row>
    <row r="77" spans="1:22" ht="14.4" x14ac:dyDescent="0.3">
      <c r="A77" s="37" t="s">
        <v>20</v>
      </c>
      <c r="B77" s="37">
        <v>4109</v>
      </c>
      <c r="C77" s="65">
        <f>352+2002</f>
        <v>2354</v>
      </c>
      <c r="D77" s="101">
        <f>1757+280+280+473+2151</f>
        <v>4941</v>
      </c>
      <c r="E77" s="101"/>
      <c r="F77" s="124"/>
      <c r="G77" s="137"/>
      <c r="H77" s="124"/>
      <c r="I77" s="124"/>
      <c r="J77" s="124"/>
      <c r="K77" s="124"/>
      <c r="L77" s="124"/>
      <c r="M77" s="124"/>
      <c r="N77" s="124"/>
      <c r="O77" s="123"/>
      <c r="Q77" s="20"/>
      <c r="V77" s="20"/>
    </row>
    <row r="78" spans="1:22" ht="14.4" x14ac:dyDescent="0.3">
      <c r="A78" s="37" t="s">
        <v>88</v>
      </c>
      <c r="B78" s="37"/>
      <c r="C78" s="65"/>
      <c r="D78" s="101">
        <f>5812+7883</f>
        <v>13695</v>
      </c>
      <c r="E78" s="101"/>
      <c r="F78" s="124"/>
      <c r="G78" s="137"/>
      <c r="H78" s="124"/>
      <c r="I78" s="124"/>
      <c r="J78" s="124"/>
      <c r="K78" s="124"/>
      <c r="L78" s="124"/>
      <c r="M78" s="124"/>
      <c r="N78" s="124"/>
      <c r="O78" s="123"/>
      <c r="Q78" s="20"/>
      <c r="V78" s="20"/>
    </row>
    <row r="79" spans="1:22" ht="14.4" x14ac:dyDescent="0.3">
      <c r="A79" s="173" t="s">
        <v>267</v>
      </c>
      <c r="B79" s="37"/>
      <c r="C79" s="65"/>
      <c r="D79" s="101"/>
      <c r="E79" s="101"/>
      <c r="F79" s="124"/>
      <c r="G79" s="137"/>
      <c r="H79" s="124"/>
      <c r="I79" s="124"/>
      <c r="J79" s="124"/>
      <c r="K79" s="124"/>
      <c r="L79" s="124"/>
      <c r="M79" s="124"/>
      <c r="N79" s="124">
        <f>136+91+300+379+239</f>
        <v>1145</v>
      </c>
      <c r="O79" s="123"/>
    </row>
    <row r="80" spans="1:22" ht="14.4" x14ac:dyDescent="0.3">
      <c r="A80" s="37" t="s">
        <v>245</v>
      </c>
      <c r="B80" s="37"/>
      <c r="C80" s="65"/>
      <c r="D80" s="101"/>
      <c r="E80" s="101"/>
      <c r="F80" s="124"/>
      <c r="G80" s="137"/>
      <c r="H80" s="124"/>
      <c r="I80" s="124"/>
      <c r="J80" s="124"/>
      <c r="K80" s="124">
        <f>21</f>
        <v>21</v>
      </c>
      <c r="L80" s="124"/>
      <c r="M80" s="124"/>
      <c r="N80" s="124"/>
      <c r="O80" s="123"/>
    </row>
    <row r="81" spans="1:29" ht="14.4" x14ac:dyDescent="0.3">
      <c r="A81" s="37" t="s">
        <v>90</v>
      </c>
      <c r="B81" s="37"/>
      <c r="C81" s="65"/>
      <c r="D81" s="101"/>
      <c r="E81" s="101">
        <v>52499</v>
      </c>
      <c r="F81" s="124"/>
      <c r="G81" s="137"/>
      <c r="H81" s="124"/>
      <c r="I81" s="124"/>
      <c r="J81" s="124"/>
      <c r="K81" s="124"/>
      <c r="L81" s="124"/>
      <c r="M81" s="124"/>
      <c r="N81" s="124"/>
      <c r="O81" s="123"/>
      <c r="Q81" s="20"/>
    </row>
    <row r="82" spans="1:29" ht="14.4" x14ac:dyDescent="0.3">
      <c r="A82" s="63" t="s">
        <v>228</v>
      </c>
      <c r="B82" s="37"/>
      <c r="C82" s="65"/>
      <c r="D82" s="101"/>
      <c r="E82" s="101"/>
      <c r="F82" s="124"/>
      <c r="G82" s="137"/>
      <c r="H82" s="124">
        <f>283+594+599+725+552+602+604+456+606+454</f>
        <v>5475</v>
      </c>
      <c r="I82" s="124"/>
      <c r="J82" s="124"/>
      <c r="K82" s="124"/>
      <c r="L82" s="124"/>
      <c r="M82" s="124"/>
      <c r="N82" s="124"/>
      <c r="O82" s="123"/>
      <c r="Q82" s="20"/>
    </row>
    <row r="83" spans="1:29" ht="14.4" x14ac:dyDescent="0.3">
      <c r="A83" s="63" t="s">
        <v>110</v>
      </c>
      <c r="B83" s="37"/>
      <c r="C83" s="65"/>
      <c r="D83" s="101"/>
      <c r="E83" s="101">
        <v>55959</v>
      </c>
      <c r="F83" s="124"/>
      <c r="G83" s="137"/>
      <c r="H83" s="124"/>
      <c r="I83" s="124"/>
      <c r="J83" s="124"/>
      <c r="K83" s="124">
        <f>262+254+264</f>
        <v>780</v>
      </c>
      <c r="L83" s="124">
        <f>1116+549</f>
        <v>1665</v>
      </c>
      <c r="M83" s="124">
        <f>2054+506+1364+1518+770+220</f>
        <v>6432</v>
      </c>
      <c r="N83" s="124">
        <f>41+275+572+305+204+512+512+287+225+308+362+273+356+106+382</f>
        <v>4720</v>
      </c>
      <c r="O83" s="123">
        <f>437+569+127+127+429+663+339+237+432+662</f>
        <v>4022</v>
      </c>
      <c r="Q83" s="20"/>
    </row>
    <row r="84" spans="1:29" ht="14.4" x14ac:dyDescent="0.3">
      <c r="A84" s="42" t="s">
        <v>25</v>
      </c>
      <c r="B84" s="42">
        <v>2537</v>
      </c>
      <c r="C84" s="65"/>
      <c r="D84" s="101"/>
      <c r="E84" s="101"/>
      <c r="F84" s="124"/>
      <c r="G84" s="137"/>
      <c r="H84" s="124"/>
      <c r="I84" s="124"/>
      <c r="J84" s="124"/>
      <c r="K84" s="124"/>
      <c r="L84" s="124"/>
      <c r="M84" s="124"/>
      <c r="N84" s="124"/>
      <c r="O84" s="123"/>
    </row>
    <row r="85" spans="1:29" ht="14.4" x14ac:dyDescent="0.3">
      <c r="A85" s="42" t="s">
        <v>23</v>
      </c>
      <c r="B85" s="42"/>
      <c r="C85" s="65"/>
      <c r="D85" s="101"/>
      <c r="E85" s="101"/>
      <c r="F85" s="124"/>
      <c r="G85" s="137"/>
      <c r="H85" s="124"/>
      <c r="I85" s="124"/>
      <c r="J85" s="124"/>
      <c r="K85" s="124"/>
      <c r="L85" s="124"/>
      <c r="M85" s="124"/>
      <c r="N85" s="124"/>
      <c r="O85" s="123"/>
    </row>
    <row r="86" spans="1:29" ht="14.4" x14ac:dyDescent="0.3">
      <c r="A86" s="37" t="s">
        <v>16</v>
      </c>
      <c r="B86" s="37"/>
      <c r="C86" s="65"/>
      <c r="D86" s="101"/>
      <c r="E86" s="101"/>
      <c r="F86" s="124"/>
      <c r="G86" s="137">
        <f>132</f>
        <v>132</v>
      </c>
      <c r="H86" s="124"/>
      <c r="I86" s="124"/>
      <c r="J86" s="124"/>
      <c r="K86" s="124"/>
      <c r="L86" s="124"/>
      <c r="M86" s="124"/>
      <c r="N86" s="124">
        <f>72</f>
        <v>72</v>
      </c>
      <c r="O86" s="123">
        <f>553+315+417+71</f>
        <v>1356</v>
      </c>
    </row>
    <row r="87" spans="1:29" ht="14.4" x14ac:dyDescent="0.3">
      <c r="A87" s="37" t="s">
        <v>80</v>
      </c>
      <c r="B87" s="37"/>
      <c r="C87" s="65"/>
      <c r="D87" s="101"/>
      <c r="E87" s="101"/>
      <c r="F87" s="124"/>
      <c r="G87" s="137"/>
      <c r="H87" s="124"/>
      <c r="I87" s="124"/>
      <c r="J87" s="124"/>
      <c r="K87" s="124"/>
      <c r="L87" s="124">
        <f>335+434</f>
        <v>769</v>
      </c>
      <c r="M87" s="124">
        <f>139+208</f>
        <v>347</v>
      </c>
      <c r="N87" s="124"/>
      <c r="O87" s="123"/>
    </row>
    <row r="88" spans="1:29" ht="14.4" x14ac:dyDescent="0.3">
      <c r="A88" s="37" t="s">
        <v>82</v>
      </c>
      <c r="B88" s="37"/>
      <c r="C88" s="65"/>
      <c r="D88" s="101"/>
      <c r="E88" s="101"/>
      <c r="F88" s="124"/>
      <c r="G88" s="137"/>
      <c r="H88" s="124"/>
      <c r="I88" s="124"/>
      <c r="J88" s="124"/>
      <c r="K88" s="124"/>
      <c r="L88" s="124">
        <f>53610+27400+22400</f>
        <v>103410</v>
      </c>
      <c r="M88" s="124">
        <v>0</v>
      </c>
      <c r="N88" s="124"/>
      <c r="O88" s="123"/>
    </row>
    <row r="89" spans="1:29" ht="14.4" x14ac:dyDescent="0.3">
      <c r="A89" s="37" t="s">
        <v>14</v>
      </c>
      <c r="B89" s="37">
        <v>263</v>
      </c>
      <c r="C89" s="65"/>
      <c r="D89" s="101">
        <f>638+633+506+319+1025+397+1008+1075+488+2034+1910+904+1675+1248+531+66+1085+775+587+1489+1543+1213+968+359+174+70+1035+366+951+598+365+69+318+784</f>
        <v>27206</v>
      </c>
      <c r="E89" s="101">
        <v>3617</v>
      </c>
      <c r="F89" s="124">
        <f>33+67+62+35</f>
        <v>197</v>
      </c>
      <c r="G89" s="137">
        <f>394+179+598+197+491+1740+2194+3167+2177+2486+2619+3109+3240+2734+1713+8992+4692+4785+4210+4018+5162+2556+2616+2436+3011+1426+1349+1233+888+249+922+765+670+37+738+355+362+572+1783+1593+332+101+748+5711+244</f>
        <v>89594</v>
      </c>
      <c r="H89" s="124">
        <f>889</f>
        <v>889</v>
      </c>
      <c r="I89" s="124"/>
      <c r="J89" s="124">
        <f>1226+1351+1901+2089+5750+5079+4513+4378+5445+3977+2687+1448+2015+2522+2337+1820+209+101+1162+1494+1240+925+1281+1230+1501+582+398+68+1137+934+1763+1731+2438+1052+1435+808+705</f>
        <v>70732</v>
      </c>
      <c r="K89" s="124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4">
        <f>27</f>
        <v>27</v>
      </c>
      <c r="M89" s="124">
        <f>935+202+264+535+770+472+647+1167+809+5+1067+751+376+781+104+64+1015+64</f>
        <v>10028</v>
      </c>
      <c r="N89" s="124">
        <f>7372+7523+7060+5682+4559+6281+7086+7707+6670+8583+7498+7244+7269+9454+5528+8844+4999+1876+2075+5583+8694+6933+7638+5447+4472+4085+5197+4487+6908+2942+2144+15+141+493+495+478</f>
        <v>189462</v>
      </c>
      <c r="O89" s="123">
        <f>6776+5186+4984+6242+6778+10049+10635+13470+8354+6681+8985+13315+13914+17488+14005+8932+9363+6205+9867+9761+11381+8198+9366+8611+8365+8737+10447+7368+11614+8162+9684+8347+8249+9808+6621+8468+8894+9669+7381+8790+8491+5211+4737+2936</f>
        <v>390525</v>
      </c>
    </row>
    <row r="90" spans="1:29" ht="14.4" x14ac:dyDescent="0.3">
      <c r="A90" s="42" t="s">
        <v>39</v>
      </c>
      <c r="B90" s="42">
        <v>40800</v>
      </c>
      <c r="C90" s="65"/>
      <c r="D90" s="101"/>
      <c r="E90" s="101"/>
      <c r="F90" s="124"/>
      <c r="G90" s="137"/>
      <c r="H90" s="124"/>
      <c r="I90" s="124"/>
      <c r="J90" s="124"/>
      <c r="K90" s="124"/>
      <c r="L90" s="124"/>
      <c r="M90" s="124"/>
      <c r="N90" s="124"/>
      <c r="O90" s="123"/>
    </row>
    <row r="91" spans="1:29" ht="14.4" x14ac:dyDescent="0.3">
      <c r="A91" s="98" t="s">
        <v>85</v>
      </c>
      <c r="B91" s="84"/>
      <c r="C91" s="64"/>
      <c r="D91" s="101"/>
      <c r="E91" s="101">
        <v>50078</v>
      </c>
      <c r="F91" s="124"/>
      <c r="G91" s="137"/>
      <c r="H91" s="124"/>
      <c r="I91" s="124">
        <f>9300+39000+40093+11057</f>
        <v>99450</v>
      </c>
      <c r="J91" s="124"/>
      <c r="K91" s="124"/>
      <c r="L91" s="124">
        <f>27150</f>
        <v>27150</v>
      </c>
      <c r="M91" s="124">
        <f>2231+807+983</f>
        <v>4021</v>
      </c>
      <c r="N91" s="124"/>
      <c r="O91" s="123"/>
    </row>
    <row r="92" spans="1:29" ht="14.4" x14ac:dyDescent="0.3">
      <c r="A92" s="43" t="s">
        <v>44</v>
      </c>
      <c r="B92" s="84"/>
      <c r="C92" s="64"/>
      <c r="D92" s="101"/>
      <c r="E92" s="101"/>
      <c r="F92" s="124"/>
      <c r="G92" s="137"/>
      <c r="H92" s="124"/>
      <c r="I92" s="124"/>
      <c r="J92" s="124"/>
      <c r="K92" s="124"/>
      <c r="L92" s="124"/>
      <c r="M92" s="124"/>
      <c r="N92" s="124"/>
      <c r="O92" s="123"/>
    </row>
    <row r="93" spans="1:29" ht="14.4" x14ac:dyDescent="0.3">
      <c r="A93" s="98" t="s">
        <v>229</v>
      </c>
      <c r="B93" s="84"/>
      <c r="C93" s="64"/>
      <c r="D93" s="101"/>
      <c r="E93" s="101"/>
      <c r="F93" s="124"/>
      <c r="G93" s="137"/>
      <c r="H93" s="124">
        <f>54570</f>
        <v>54570</v>
      </c>
      <c r="I93" s="124">
        <f>1200+53400+53520+780+36867+17733+7523+51287+47633+25012+28280+11056+85566+112887+63203+40701+54600</f>
        <v>691248</v>
      </c>
      <c r="J93" s="124"/>
      <c r="K93" s="124">
        <f>23529+27871+10303+44365</f>
        <v>106068</v>
      </c>
      <c r="L93" s="124">
        <f>59950+23037+29065+29828+22672+31844+20656+58957+47161+28536+57458+22946</f>
        <v>432110</v>
      </c>
      <c r="M93" s="124">
        <f>52718+41485+12315+54610+52320+29271+25009+25847+15953+10803+4830+27528</f>
        <v>352689</v>
      </c>
      <c r="N93" s="124">
        <f>52775+54560+21280+6038+44677</f>
        <v>179330</v>
      </c>
      <c r="O93" s="123"/>
    </row>
    <row r="94" spans="1:29" ht="14.4" x14ac:dyDescent="0.3">
      <c r="A94" s="98" t="s">
        <v>121</v>
      </c>
      <c r="B94" s="84"/>
      <c r="C94" s="64"/>
      <c r="D94" s="101"/>
      <c r="E94" s="101"/>
      <c r="F94" s="124">
        <f>897</f>
        <v>897</v>
      </c>
      <c r="G94" s="137"/>
      <c r="H94" s="124"/>
      <c r="I94" s="124"/>
      <c r="J94" s="124"/>
      <c r="K94" s="124"/>
      <c r="L94" s="124"/>
      <c r="M94" s="124"/>
      <c r="N94" s="124"/>
      <c r="O94" s="123"/>
    </row>
    <row r="95" spans="1:29" ht="14.4" x14ac:dyDescent="0.3">
      <c r="A95" s="38" t="s">
        <v>5</v>
      </c>
      <c r="B95" s="85">
        <f>SUM(B57:B94)</f>
        <v>711250</v>
      </c>
      <c r="C95" s="100">
        <f>SUM(C57:C77)</f>
        <v>392095</v>
      </c>
      <c r="D95" s="106">
        <f t="shared" ref="D95:O95" si="2">SUM(D57:D94)</f>
        <v>1123009</v>
      </c>
      <c r="E95" s="106">
        <f t="shared" si="2"/>
        <v>1403269</v>
      </c>
      <c r="F95" s="124">
        <f t="shared" si="2"/>
        <v>210799</v>
      </c>
      <c r="G95" s="137">
        <f t="shared" si="2"/>
        <v>289140</v>
      </c>
      <c r="H95" s="124">
        <f t="shared" si="2"/>
        <v>1476701</v>
      </c>
      <c r="I95" s="124">
        <f t="shared" si="2"/>
        <v>1474333</v>
      </c>
      <c r="J95" s="124">
        <f t="shared" si="2"/>
        <v>402373</v>
      </c>
      <c r="K95" s="124">
        <f t="shared" si="2"/>
        <v>1424093</v>
      </c>
      <c r="L95" s="124">
        <f t="shared" si="2"/>
        <v>2878743</v>
      </c>
      <c r="M95" s="124">
        <f t="shared" si="2"/>
        <v>2152746</v>
      </c>
      <c r="N95" s="124">
        <f t="shared" si="2"/>
        <v>2167128</v>
      </c>
      <c r="O95" s="123">
        <f t="shared" si="2"/>
        <v>687712</v>
      </c>
      <c r="P95" s="123">
        <f>'Weekliks-Weekly'!N52</f>
        <v>687712</v>
      </c>
      <c r="Q95" s="20"/>
      <c r="Y95" s="3"/>
      <c r="Z95" s="3"/>
      <c r="AA95" s="3"/>
      <c r="AB95" s="3"/>
      <c r="AC95" s="3"/>
    </row>
    <row r="96" spans="1:29" ht="14.4" x14ac:dyDescent="0.3">
      <c r="A96" s="38" t="s">
        <v>8</v>
      </c>
      <c r="B96" s="85">
        <f t="shared" ref="B96:K96" si="3">B53+B95</f>
        <v>2442493</v>
      </c>
      <c r="C96" s="100">
        <f t="shared" si="3"/>
        <v>1787248</v>
      </c>
      <c r="D96" s="106">
        <f t="shared" si="3"/>
        <v>2024236</v>
      </c>
      <c r="E96" s="106">
        <f t="shared" si="3"/>
        <v>1939283</v>
      </c>
      <c r="F96" s="106">
        <f t="shared" si="3"/>
        <v>667445</v>
      </c>
      <c r="G96" s="139">
        <f t="shared" si="3"/>
        <v>814219</v>
      </c>
      <c r="H96" s="139">
        <f t="shared" si="3"/>
        <v>2246674</v>
      </c>
      <c r="I96" s="139">
        <f t="shared" si="3"/>
        <v>1942990</v>
      </c>
      <c r="J96" s="139">
        <f t="shared" si="3"/>
        <v>1420564</v>
      </c>
      <c r="K96" s="139">
        <f t="shared" si="3"/>
        <v>2541166</v>
      </c>
      <c r="L96" s="124"/>
      <c r="M96" s="122"/>
      <c r="N96" s="122"/>
      <c r="O96" s="122"/>
      <c r="P96" s="51"/>
    </row>
    <row r="97" spans="16:16" x14ac:dyDescent="0.25">
      <c r="P97" s="20"/>
    </row>
  </sheetData>
  <mergeCells count="1">
    <mergeCell ref="Q25:Q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6" zoomScale="126" zoomScaleNormal="126" workbookViewId="0">
      <selection activeCell="E21" sqref="E21"/>
    </sheetView>
  </sheetViews>
  <sheetFormatPr defaultColWidth="9.109375" defaultRowHeight="15" x14ac:dyDescent="0.25"/>
  <cols>
    <col min="1" max="1" width="33.6640625" style="68" customWidth="1"/>
    <col min="2" max="2" width="14.88671875" style="68" customWidth="1"/>
    <col min="3" max="3" width="9.109375" style="68"/>
    <col min="4" max="4" width="24.109375" style="68" customWidth="1"/>
    <col min="5" max="5" width="13.88671875" style="68" customWidth="1"/>
    <col min="6" max="6" width="10.33203125" style="68" bestFit="1" customWidth="1"/>
    <col min="7" max="16384" width="9.109375" style="68"/>
  </cols>
  <sheetData>
    <row r="1" spans="1:22" ht="15.6" x14ac:dyDescent="0.3">
      <c r="A1" s="67" t="s">
        <v>155</v>
      </c>
      <c r="V1" s="68">
        <v>4</v>
      </c>
    </row>
    <row r="2" spans="1:22" ht="15.6" x14ac:dyDescent="0.3">
      <c r="A2" s="67" t="s">
        <v>0</v>
      </c>
    </row>
    <row r="4" spans="1:22" x14ac:dyDescent="0.25">
      <c r="A4" s="121" t="s">
        <v>265</v>
      </c>
      <c r="B4" s="97">
        <f>'Weekliks-Weekly'!B52</f>
        <v>45716</v>
      </c>
    </row>
    <row r="5" spans="1:22" x14ac:dyDescent="0.25">
      <c r="A5" s="121" t="s">
        <v>257</v>
      </c>
      <c r="B5" s="69">
        <f>B4</f>
        <v>45716</v>
      </c>
    </row>
    <row r="6" spans="1:22" ht="15.6" x14ac:dyDescent="0.3">
      <c r="D6" s="67"/>
    </row>
    <row r="7" spans="1:22" ht="15.6" x14ac:dyDescent="0.3">
      <c r="A7" s="67" t="s">
        <v>1</v>
      </c>
      <c r="B7" s="67" t="s">
        <v>2</v>
      </c>
      <c r="E7" s="70"/>
    </row>
    <row r="8" spans="1:22" ht="15.6" x14ac:dyDescent="0.3">
      <c r="A8" s="74" t="s">
        <v>70</v>
      </c>
      <c r="B8" s="94">
        <v>0</v>
      </c>
      <c r="D8" s="72" t="s">
        <v>63</v>
      </c>
      <c r="E8" s="73">
        <f>B13/(52-'Export destin -Uitvoer bestem.'!$G$6)</f>
        <v>1267.0227272727273</v>
      </c>
      <c r="F8" s="71"/>
    </row>
    <row r="9" spans="1:22" ht="15.6" x14ac:dyDescent="0.3">
      <c r="A9" s="74" t="s">
        <v>71</v>
      </c>
      <c r="B9" s="94">
        <f>0</f>
        <v>0</v>
      </c>
      <c r="D9" s="74" t="s">
        <v>64</v>
      </c>
      <c r="E9" s="75">
        <f>'Export destin -Uitvoer bestem.'!$G$6</f>
        <v>8</v>
      </c>
      <c r="F9" s="71"/>
    </row>
    <row r="10" spans="1:22" ht="15.6" x14ac:dyDescent="0.3">
      <c r="A10" s="74" t="s">
        <v>4</v>
      </c>
      <c r="B10" s="94">
        <f>0</f>
        <v>0</v>
      </c>
      <c r="D10" s="74" t="s">
        <v>65</v>
      </c>
      <c r="E10" s="75">
        <f>(E8*E9)+B13</f>
        <v>65885.181818181823</v>
      </c>
      <c r="F10" s="71"/>
    </row>
    <row r="11" spans="1:22" ht="15.6" x14ac:dyDescent="0.3">
      <c r="A11" s="74" t="s">
        <v>113</v>
      </c>
      <c r="B11" s="94">
        <f>0</f>
        <v>0</v>
      </c>
      <c r="E11" s="71"/>
      <c r="F11" s="71"/>
    </row>
    <row r="12" spans="1:22" ht="15.6" x14ac:dyDescent="0.3">
      <c r="A12" s="74" t="s">
        <v>122</v>
      </c>
      <c r="B12" s="94">
        <f>6948+18663+9014+21124</f>
        <v>55749</v>
      </c>
      <c r="E12" s="71"/>
      <c r="F12" s="71"/>
    </row>
    <row r="13" spans="1:22" ht="15.6" x14ac:dyDescent="0.3">
      <c r="A13" s="72" t="s">
        <v>5</v>
      </c>
      <c r="B13" s="80">
        <f>SUM(B8:B12)</f>
        <v>55749</v>
      </c>
      <c r="F13" s="71"/>
    </row>
    <row r="14" spans="1:22" x14ac:dyDescent="0.25">
      <c r="B14" s="70"/>
      <c r="F14" s="71"/>
    </row>
    <row r="15" spans="1:22" ht="15.6" x14ac:dyDescent="0.3">
      <c r="A15" s="67" t="s">
        <v>6</v>
      </c>
      <c r="B15" s="68" t="s">
        <v>2</v>
      </c>
      <c r="F15" s="71"/>
    </row>
    <row r="16" spans="1:22" ht="15.6" x14ac:dyDescent="0.3">
      <c r="A16" s="74" t="s">
        <v>7</v>
      </c>
      <c r="B16" s="94">
        <f>23333+48995+59315+35550+112+10163+16075+2594+35231+12499+9709+4246+10224+9464+35586+12453+9502+1075+46868+27496+10419+20547+10937+3151+7855+42848+11033+38550</f>
        <v>555830</v>
      </c>
      <c r="D16" s="72" t="s">
        <v>63</v>
      </c>
      <c r="E16" s="73">
        <f>B23/(52-'Export destin -Uitvoer bestem.'!$G$6)</f>
        <v>15238.613636363636</v>
      </c>
      <c r="F16" s="71"/>
    </row>
    <row r="17" spans="1:12" ht="15.6" x14ac:dyDescent="0.3">
      <c r="A17" s="74" t="s">
        <v>79</v>
      </c>
      <c r="B17" s="94">
        <f>20605+30331+10981+43790</f>
        <v>105707</v>
      </c>
      <c r="D17" s="74" t="s">
        <v>64</v>
      </c>
      <c r="E17" s="75">
        <f>'Export destin -Uitvoer bestem.'!$G$6</f>
        <v>8</v>
      </c>
      <c r="F17" s="71"/>
    </row>
    <row r="18" spans="1:12" ht="15.6" x14ac:dyDescent="0.3">
      <c r="A18" s="74" t="s">
        <v>93</v>
      </c>
      <c r="B18" s="94">
        <f>0</f>
        <v>0</v>
      </c>
      <c r="D18" s="74" t="s">
        <v>65</v>
      </c>
      <c r="E18" s="75">
        <f>(E16*E17)+B23</f>
        <v>792407.90909090906</v>
      </c>
      <c r="F18" s="71"/>
      <c r="L18" s="128"/>
    </row>
    <row r="19" spans="1:12" ht="15.6" x14ac:dyDescent="0.3">
      <c r="A19" s="74" t="s">
        <v>120</v>
      </c>
      <c r="B19" s="94">
        <f>0</f>
        <v>0</v>
      </c>
      <c r="E19" s="71"/>
      <c r="F19" s="71"/>
      <c r="L19" s="128"/>
    </row>
    <row r="20" spans="1:12" ht="15.6" x14ac:dyDescent="0.3">
      <c r="A20" s="74" t="s">
        <v>3</v>
      </c>
      <c r="B20" s="94">
        <f>8962</f>
        <v>8962</v>
      </c>
      <c r="E20" s="71"/>
      <c r="F20" s="71"/>
      <c r="L20" s="128"/>
    </row>
    <row r="21" spans="1:12" ht="15.6" x14ac:dyDescent="0.3">
      <c r="A21" s="74" t="s">
        <v>94</v>
      </c>
      <c r="B21" s="94">
        <f>0</f>
        <v>0</v>
      </c>
      <c r="E21" s="71"/>
      <c r="F21" s="71"/>
    </row>
    <row r="22" spans="1:12" ht="15.6" x14ac:dyDescent="0.3">
      <c r="A22" s="74" t="s">
        <v>66</v>
      </c>
      <c r="B22" s="94">
        <f>0</f>
        <v>0</v>
      </c>
      <c r="E22" s="71"/>
      <c r="F22" s="71"/>
    </row>
    <row r="23" spans="1:12" ht="15.6" x14ac:dyDescent="0.3">
      <c r="A23" s="72" t="s">
        <v>5</v>
      </c>
      <c r="B23" s="80">
        <f>SUM(B16:B22)</f>
        <v>670499</v>
      </c>
      <c r="E23" s="71"/>
      <c r="F23" s="71"/>
    </row>
    <row r="24" spans="1:12" x14ac:dyDescent="0.25">
      <c r="B24" s="70"/>
      <c r="E24" s="71"/>
      <c r="F24" s="71"/>
    </row>
    <row r="25" spans="1:12" ht="15.6" x14ac:dyDescent="0.3">
      <c r="A25" s="72" t="s">
        <v>8</v>
      </c>
      <c r="B25" s="80">
        <f>B13+B23</f>
        <v>726248</v>
      </c>
      <c r="D25" s="70"/>
      <c r="E25" s="71"/>
      <c r="F25" s="71"/>
    </row>
    <row r="26" spans="1:12" x14ac:dyDescent="0.25">
      <c r="E26" s="71"/>
      <c r="F26" s="71"/>
    </row>
    <row r="27" spans="1:12" x14ac:dyDescent="0.25">
      <c r="E27" s="71"/>
      <c r="F27" s="71"/>
    </row>
    <row r="28" spans="1:12" x14ac:dyDescent="0.25">
      <c r="E28" s="71"/>
      <c r="F28" s="71"/>
    </row>
    <row r="29" spans="1:12" x14ac:dyDescent="0.25">
      <c r="E29" s="71"/>
      <c r="F29" s="71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opLeftCell="A6" zoomScale="98" zoomScaleNormal="98" workbookViewId="0">
      <selection activeCell="AC58" sqref="AC58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4" customWidth="1"/>
    <col min="12" max="12" width="11.44140625" style="186" customWidth="1"/>
    <col min="13" max="13" width="10.6640625" style="174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263</v>
      </c>
    </row>
    <row r="2" spans="1:23" ht="15.6" x14ac:dyDescent="0.3">
      <c r="C2" s="78" t="s">
        <v>264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2" t="s">
        <v>235</v>
      </c>
      <c r="L4" s="223"/>
      <c r="M4" s="224" t="s">
        <v>235</v>
      </c>
      <c r="N4" s="225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2" t="s">
        <v>236</v>
      </c>
      <c r="L5" s="223"/>
      <c r="M5" s="224" t="s">
        <v>236</v>
      </c>
      <c r="N5" s="225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192" t="s">
        <v>29</v>
      </c>
      <c r="L6" s="189" t="s">
        <v>30</v>
      </c>
      <c r="M6" s="175" t="s">
        <v>29</v>
      </c>
      <c r="N6" s="8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193"/>
      <c r="L7" s="190"/>
      <c r="M7" s="175" t="s">
        <v>34</v>
      </c>
      <c r="N7" s="89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194" t="s">
        <v>37</v>
      </c>
      <c r="L8" s="191" t="s">
        <v>37</v>
      </c>
      <c r="M8" s="176" t="s">
        <v>37</v>
      </c>
      <c r="N8" s="9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45051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195">
        <v>10.148</v>
      </c>
      <c r="L9" s="187">
        <v>36.905000000000001</v>
      </c>
      <c r="M9" s="178">
        <f>K9</f>
        <v>10.148</v>
      </c>
      <c r="N9" s="177">
        <f>L9</f>
        <v>36.905000000000001</v>
      </c>
      <c r="O9" s="181"/>
      <c r="P9" s="16"/>
      <c r="Q9" s="16"/>
      <c r="R9" s="16"/>
      <c r="S9" s="16">
        <f t="shared" ref="S9:S27" si="2">C9+D9</f>
        <v>0</v>
      </c>
      <c r="T9" s="16">
        <f>K9+L9</f>
        <v>47.052999999999997</v>
      </c>
      <c r="U9" s="16">
        <f t="shared" ref="U9:U60" si="3">E9+F9</f>
        <v>0</v>
      </c>
      <c r="V9" s="16">
        <f>M9+N9</f>
        <v>47.052999999999997</v>
      </c>
    </row>
    <row r="10" spans="1:23" ht="14.4" x14ac:dyDescent="0.3">
      <c r="A10" s="3">
        <f>A9+1</f>
        <v>2</v>
      </c>
      <c r="B10" s="113">
        <f t="shared" ref="B10:B60" si="4">B9+7</f>
        <v>45058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195">
        <v>17.588999999999999</v>
      </c>
      <c r="L10" s="187">
        <v>33.787999999999997</v>
      </c>
      <c r="M10" s="179">
        <f t="shared" ref="M10:N25" si="5">M9+K10</f>
        <v>27.736999999999998</v>
      </c>
      <c r="N10" s="177">
        <f t="shared" si="5"/>
        <v>70.692999999999998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51.376999999999995</v>
      </c>
      <c r="U10" s="17">
        <f t="shared" si="3"/>
        <v>0</v>
      </c>
      <c r="V10" s="17">
        <f t="shared" ref="V10:V60" si="7">M10+N10</f>
        <v>98.429999999999993</v>
      </c>
    </row>
    <row r="11" spans="1:23" ht="14.4" x14ac:dyDescent="0.3">
      <c r="A11" s="3">
        <f t="shared" ref="A11:A61" si="8">A10+1</f>
        <v>3</v>
      </c>
      <c r="B11" s="113">
        <f t="shared" si="4"/>
        <v>45065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195">
        <v>10.32</v>
      </c>
      <c r="L11" s="187">
        <v>40.933</v>
      </c>
      <c r="M11" s="179">
        <f t="shared" si="5"/>
        <v>38.057000000000002</v>
      </c>
      <c r="N11" s="177">
        <f t="shared" si="5"/>
        <v>111.626</v>
      </c>
      <c r="O11" s="45"/>
      <c r="P11" s="17"/>
      <c r="Q11" s="17"/>
      <c r="R11" s="17"/>
      <c r="S11" s="17">
        <f t="shared" si="2"/>
        <v>0</v>
      </c>
      <c r="T11" s="17">
        <f t="shared" si="6"/>
        <v>51.253</v>
      </c>
      <c r="U11" s="17">
        <f t="shared" si="3"/>
        <v>0</v>
      </c>
      <c r="V11" s="17">
        <f t="shared" si="7"/>
        <v>149.68299999999999</v>
      </c>
    </row>
    <row r="12" spans="1:23" ht="14.4" x14ac:dyDescent="0.3">
      <c r="A12" s="3">
        <f t="shared" si="8"/>
        <v>4</v>
      </c>
      <c r="B12" s="113">
        <f t="shared" si="4"/>
        <v>45072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195">
        <v>12.122999999999999</v>
      </c>
      <c r="L12" s="187">
        <v>98.013999999999996</v>
      </c>
      <c r="M12" s="179">
        <f t="shared" si="5"/>
        <v>50.18</v>
      </c>
      <c r="N12" s="177">
        <f t="shared" si="5"/>
        <v>209.64</v>
      </c>
      <c r="O12" s="45"/>
      <c r="P12" s="17"/>
      <c r="Q12" s="17"/>
      <c r="R12" s="17"/>
      <c r="S12" s="17">
        <f t="shared" si="2"/>
        <v>0</v>
      </c>
      <c r="T12" s="17">
        <f t="shared" si="6"/>
        <v>110.137</v>
      </c>
      <c r="U12" s="17">
        <f t="shared" si="3"/>
        <v>0</v>
      </c>
      <c r="V12" s="17">
        <f t="shared" si="7"/>
        <v>259.82</v>
      </c>
    </row>
    <row r="13" spans="1:23" ht="14.4" x14ac:dyDescent="0.3">
      <c r="A13" s="3">
        <f t="shared" si="8"/>
        <v>5</v>
      </c>
      <c r="B13" s="113">
        <f t="shared" si="4"/>
        <v>45079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195">
        <v>11.157999999999999</v>
      </c>
      <c r="L13" s="187">
        <v>34.095999999999997</v>
      </c>
      <c r="M13" s="179">
        <f t="shared" si="5"/>
        <v>61.338000000000001</v>
      </c>
      <c r="N13" s="177">
        <f t="shared" si="5"/>
        <v>243.73599999999999</v>
      </c>
      <c r="O13" s="45"/>
      <c r="P13" s="17"/>
      <c r="Q13" s="17"/>
      <c r="R13" s="17"/>
      <c r="S13" s="17">
        <f t="shared" si="2"/>
        <v>0</v>
      </c>
      <c r="T13" s="17">
        <f t="shared" si="6"/>
        <v>45.253999999999998</v>
      </c>
      <c r="U13" s="17">
        <f t="shared" si="3"/>
        <v>0</v>
      </c>
      <c r="V13" s="17">
        <f t="shared" si="7"/>
        <v>305.07400000000001</v>
      </c>
    </row>
    <row r="14" spans="1:23" ht="14.4" x14ac:dyDescent="0.3">
      <c r="A14" s="3">
        <f t="shared" si="8"/>
        <v>6</v>
      </c>
      <c r="B14" s="113">
        <f t="shared" si="4"/>
        <v>45086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195">
        <v>8.0749999999999993</v>
      </c>
      <c r="L14" s="187">
        <v>123.376</v>
      </c>
      <c r="M14" s="179">
        <f t="shared" si="5"/>
        <v>69.412999999999997</v>
      </c>
      <c r="N14" s="177">
        <f t="shared" si="5"/>
        <v>367.11199999999997</v>
      </c>
      <c r="O14" s="45"/>
      <c r="P14" s="17"/>
      <c r="Q14" s="17"/>
      <c r="R14" s="17"/>
      <c r="S14" s="17">
        <f t="shared" si="2"/>
        <v>0</v>
      </c>
      <c r="T14" s="17">
        <f t="shared" si="6"/>
        <v>131.45099999999999</v>
      </c>
      <c r="U14" s="17">
        <f t="shared" si="3"/>
        <v>0</v>
      </c>
      <c r="V14" s="17">
        <f t="shared" si="7"/>
        <v>436.52499999999998</v>
      </c>
    </row>
    <row r="15" spans="1:23" ht="14.4" x14ac:dyDescent="0.3">
      <c r="A15" s="3">
        <f t="shared" si="8"/>
        <v>7</v>
      </c>
      <c r="B15" s="113">
        <f t="shared" si="4"/>
        <v>45093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195">
        <v>7.9029999999999996</v>
      </c>
      <c r="L15" s="187">
        <v>82.921999999999997</v>
      </c>
      <c r="M15" s="179">
        <f t="shared" si="5"/>
        <v>77.316000000000003</v>
      </c>
      <c r="N15" s="177">
        <f t="shared" si="5"/>
        <v>450.03399999999999</v>
      </c>
      <c r="O15" s="45"/>
      <c r="P15" s="17"/>
      <c r="Q15" s="17"/>
      <c r="R15" s="17"/>
      <c r="S15" s="17">
        <f t="shared" si="2"/>
        <v>0</v>
      </c>
      <c r="T15" s="17">
        <f t="shared" si="6"/>
        <v>90.825000000000003</v>
      </c>
      <c r="U15" s="17">
        <f t="shared" si="3"/>
        <v>0</v>
      </c>
      <c r="V15" s="17">
        <f t="shared" si="7"/>
        <v>527.35</v>
      </c>
    </row>
    <row r="16" spans="1:23" ht="14.4" x14ac:dyDescent="0.3">
      <c r="A16" s="3">
        <f t="shared" si="8"/>
        <v>8</v>
      </c>
      <c r="B16" s="113">
        <f t="shared" si="4"/>
        <v>45100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195">
        <v>16.495999999999999</v>
      </c>
      <c r="L16" s="187">
        <v>113.95</v>
      </c>
      <c r="M16" s="179">
        <f t="shared" si="5"/>
        <v>93.811999999999998</v>
      </c>
      <c r="N16" s="177">
        <f t="shared" si="5"/>
        <v>563.98400000000004</v>
      </c>
      <c r="O16" s="45"/>
      <c r="P16" s="17"/>
      <c r="Q16" s="17"/>
      <c r="R16" s="17"/>
      <c r="S16" s="17">
        <f t="shared" si="2"/>
        <v>0</v>
      </c>
      <c r="T16" s="17">
        <f t="shared" si="6"/>
        <v>130.446</v>
      </c>
      <c r="U16" s="17">
        <f t="shared" si="3"/>
        <v>0</v>
      </c>
      <c r="V16" s="17">
        <f t="shared" si="7"/>
        <v>657.79600000000005</v>
      </c>
    </row>
    <row r="17" spans="1:24" ht="14.4" x14ac:dyDescent="0.3">
      <c r="A17" s="3">
        <f t="shared" si="8"/>
        <v>9</v>
      </c>
      <c r="B17" s="113">
        <f t="shared" si="4"/>
        <v>45107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195">
        <v>22.015000000000001</v>
      </c>
      <c r="L17" s="187">
        <v>80.28</v>
      </c>
      <c r="M17" s="179">
        <f t="shared" si="5"/>
        <v>115.827</v>
      </c>
      <c r="N17" s="177">
        <f t="shared" si="5"/>
        <v>644.26400000000001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102.295</v>
      </c>
      <c r="U17" s="17">
        <f t="shared" si="3"/>
        <v>0</v>
      </c>
      <c r="V17" s="17">
        <f t="shared" si="7"/>
        <v>760.09100000000001</v>
      </c>
    </row>
    <row r="18" spans="1:24" ht="14.4" x14ac:dyDescent="0.3">
      <c r="A18" s="3">
        <f t="shared" si="8"/>
        <v>10</v>
      </c>
      <c r="B18" s="113">
        <f t="shared" si="4"/>
        <v>45114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195">
        <v>8.202</v>
      </c>
      <c r="L18" s="187">
        <v>90.853999999999999</v>
      </c>
      <c r="M18" s="179">
        <f t="shared" si="5"/>
        <v>124.029</v>
      </c>
      <c r="N18" s="177">
        <f t="shared" si="5"/>
        <v>735.11800000000005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99.055999999999997</v>
      </c>
      <c r="U18" s="17">
        <f t="shared" si="3"/>
        <v>0</v>
      </c>
      <c r="V18" s="17">
        <f t="shared" si="7"/>
        <v>859.14700000000005</v>
      </c>
    </row>
    <row r="19" spans="1:24" ht="14.4" x14ac:dyDescent="0.3">
      <c r="A19" s="3">
        <f t="shared" si="8"/>
        <v>11</v>
      </c>
      <c r="B19" s="113">
        <f t="shared" si="4"/>
        <v>45121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195">
        <v>10.098000000000001</v>
      </c>
      <c r="L19" s="187">
        <v>118.018</v>
      </c>
      <c r="M19" s="179">
        <f t="shared" si="5"/>
        <v>134.12700000000001</v>
      </c>
      <c r="N19" s="177">
        <f t="shared" si="5"/>
        <v>853.13600000000008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128.11600000000001</v>
      </c>
      <c r="U19" s="17">
        <f t="shared" si="3"/>
        <v>0</v>
      </c>
      <c r="V19" s="17">
        <f t="shared" si="7"/>
        <v>987.26300000000015</v>
      </c>
    </row>
    <row r="20" spans="1:24" ht="14.4" x14ac:dyDescent="0.3">
      <c r="A20" s="3">
        <f t="shared" si="8"/>
        <v>12</v>
      </c>
      <c r="B20" s="113">
        <f t="shared" si="4"/>
        <v>45128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195">
        <v>22.943999999999999</v>
      </c>
      <c r="L20" s="187">
        <v>87.302000000000007</v>
      </c>
      <c r="M20" s="179">
        <f t="shared" si="5"/>
        <v>157.071</v>
      </c>
      <c r="N20" s="177">
        <f t="shared" si="5"/>
        <v>940.4380000000001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110.24600000000001</v>
      </c>
      <c r="U20" s="17">
        <f t="shared" si="3"/>
        <v>0</v>
      </c>
      <c r="V20" s="17">
        <f t="shared" si="7"/>
        <v>1097.509</v>
      </c>
    </row>
    <row r="21" spans="1:24" ht="14.4" x14ac:dyDescent="0.3">
      <c r="A21" s="3">
        <f t="shared" si="8"/>
        <v>13</v>
      </c>
      <c r="B21" s="113">
        <f t="shared" si="4"/>
        <v>45135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195">
        <v>12.144</v>
      </c>
      <c r="L21" s="187">
        <v>146.792</v>
      </c>
      <c r="M21" s="179">
        <f t="shared" si="5"/>
        <v>169.215</v>
      </c>
      <c r="N21" s="177">
        <f t="shared" si="5"/>
        <v>1087.23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158.93600000000001</v>
      </c>
      <c r="U21" s="17">
        <f t="shared" si="3"/>
        <v>0</v>
      </c>
      <c r="V21" s="17">
        <f t="shared" si="7"/>
        <v>1256.4449999999999</v>
      </c>
    </row>
    <row r="22" spans="1:24" ht="14.4" x14ac:dyDescent="0.3">
      <c r="A22" s="3">
        <f t="shared" si="8"/>
        <v>14</v>
      </c>
      <c r="B22" s="113">
        <f t="shared" si="4"/>
        <v>45142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195">
        <v>10.493</v>
      </c>
      <c r="L22" s="187">
        <v>100.539</v>
      </c>
      <c r="M22" s="179">
        <f t="shared" si="5"/>
        <v>179.708</v>
      </c>
      <c r="N22" s="177">
        <f t="shared" si="5"/>
        <v>1187.769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111.032</v>
      </c>
      <c r="U22" s="17">
        <f t="shared" si="3"/>
        <v>0</v>
      </c>
      <c r="V22" s="17">
        <f t="shared" si="7"/>
        <v>1367.4770000000001</v>
      </c>
    </row>
    <row r="23" spans="1:24" ht="14.4" x14ac:dyDescent="0.3">
      <c r="A23" s="3">
        <f t="shared" si="8"/>
        <v>15</v>
      </c>
      <c r="B23" s="113">
        <f t="shared" si="4"/>
        <v>45149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195">
        <v>14.371</v>
      </c>
      <c r="L23" s="187">
        <v>56.576000000000001</v>
      </c>
      <c r="M23" s="179">
        <f t="shared" si="5"/>
        <v>194.07900000000001</v>
      </c>
      <c r="N23" s="177">
        <f t="shared" si="5"/>
        <v>1244.345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70.947000000000003</v>
      </c>
      <c r="U23" s="17">
        <f t="shared" si="3"/>
        <v>0</v>
      </c>
      <c r="V23" s="17">
        <f t="shared" si="7"/>
        <v>1438.424</v>
      </c>
    </row>
    <row r="24" spans="1:24" ht="14.4" x14ac:dyDescent="0.3">
      <c r="A24" s="3">
        <f t="shared" si="8"/>
        <v>16</v>
      </c>
      <c r="B24" s="113">
        <f t="shared" si="4"/>
        <v>45156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195">
        <v>26.166</v>
      </c>
      <c r="L24" s="187">
        <v>57.69</v>
      </c>
      <c r="M24" s="179">
        <f t="shared" si="5"/>
        <v>220.245</v>
      </c>
      <c r="N24" s="177">
        <f t="shared" si="5"/>
        <v>1302.0350000000001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83.855999999999995</v>
      </c>
      <c r="U24" s="17">
        <f t="shared" si="3"/>
        <v>0</v>
      </c>
      <c r="V24" s="17">
        <f t="shared" si="7"/>
        <v>1522.2800000000002</v>
      </c>
    </row>
    <row r="25" spans="1:24" ht="14.4" x14ac:dyDescent="0.3">
      <c r="A25" s="3">
        <f t="shared" si="8"/>
        <v>17</v>
      </c>
      <c r="B25" s="113">
        <f t="shared" si="4"/>
        <v>45163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195">
        <v>29.616</v>
      </c>
      <c r="L25" s="187">
        <v>65.554000000000002</v>
      </c>
      <c r="M25" s="179">
        <f t="shared" si="5"/>
        <v>249.86099999999999</v>
      </c>
      <c r="N25" s="177">
        <f t="shared" si="5"/>
        <v>1367.5890000000002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95.17</v>
      </c>
      <c r="U25" s="17">
        <f t="shared" si="3"/>
        <v>0</v>
      </c>
      <c r="V25" s="17">
        <f t="shared" si="7"/>
        <v>1617.4500000000003</v>
      </c>
    </row>
    <row r="26" spans="1:24" ht="14.4" x14ac:dyDescent="0.3">
      <c r="A26" s="3">
        <f t="shared" si="8"/>
        <v>18</v>
      </c>
      <c r="B26" s="113">
        <f t="shared" si="4"/>
        <v>45170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195">
        <v>11.515000000000001</v>
      </c>
      <c r="L26" s="187">
        <v>61.106999999999999</v>
      </c>
      <c r="M26" s="179">
        <f t="shared" ref="M26:N41" si="12">M25+K26</f>
        <v>261.37599999999998</v>
      </c>
      <c r="N26" s="177">
        <f t="shared" si="12"/>
        <v>1428.6960000000001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72.622</v>
      </c>
      <c r="U26" s="17">
        <f t="shared" si="3"/>
        <v>0</v>
      </c>
      <c r="V26" s="17">
        <f t="shared" si="7"/>
        <v>1690.0720000000001</v>
      </c>
    </row>
    <row r="27" spans="1:24" ht="14.4" x14ac:dyDescent="0.3">
      <c r="A27" s="3">
        <f t="shared" si="8"/>
        <v>19</v>
      </c>
      <c r="B27" s="113">
        <f t="shared" si="4"/>
        <v>45177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195">
        <v>33.287999999999997</v>
      </c>
      <c r="L27" s="187">
        <v>32.146000000000001</v>
      </c>
      <c r="M27" s="179">
        <f t="shared" si="12"/>
        <v>294.66399999999999</v>
      </c>
      <c r="N27" s="177">
        <f t="shared" si="12"/>
        <v>1460.8420000000001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65.433999999999997</v>
      </c>
      <c r="U27" s="17">
        <f t="shared" si="3"/>
        <v>0</v>
      </c>
      <c r="V27" s="17">
        <f t="shared" si="7"/>
        <v>1755.5060000000001</v>
      </c>
    </row>
    <row r="28" spans="1:24" ht="14.4" x14ac:dyDescent="0.3">
      <c r="A28" s="3">
        <f t="shared" si="8"/>
        <v>20</v>
      </c>
      <c r="B28" s="113">
        <f t="shared" si="4"/>
        <v>45184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195">
        <v>12.478999999999999</v>
      </c>
      <c r="L28" s="187">
        <v>58.24</v>
      </c>
      <c r="M28" s="179">
        <f t="shared" si="12"/>
        <v>307.14299999999997</v>
      </c>
      <c r="N28" s="177">
        <f t="shared" si="12"/>
        <v>1519.0820000000001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70.718999999999994</v>
      </c>
      <c r="U28" s="17">
        <f t="shared" si="3"/>
        <v>0</v>
      </c>
      <c r="V28" s="17">
        <f t="shared" si="7"/>
        <v>1826.2250000000001</v>
      </c>
    </row>
    <row r="29" spans="1:24" ht="14.4" x14ac:dyDescent="0.3">
      <c r="A29" s="3">
        <f t="shared" si="8"/>
        <v>21</v>
      </c>
      <c r="B29" s="113">
        <f t="shared" si="4"/>
        <v>45191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195">
        <v>41.085000000000001</v>
      </c>
      <c r="L29" s="187">
        <v>6.4219999999999997</v>
      </c>
      <c r="M29" s="179">
        <f t="shared" si="12"/>
        <v>348.22799999999995</v>
      </c>
      <c r="N29" s="177">
        <f t="shared" si="12"/>
        <v>1525.5040000000001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47.506999999999998</v>
      </c>
      <c r="U29" s="17">
        <f t="shared" si="3"/>
        <v>0</v>
      </c>
      <c r="V29" s="17">
        <f t="shared" si="7"/>
        <v>1873.732</v>
      </c>
    </row>
    <row r="30" spans="1:24" ht="14.4" x14ac:dyDescent="0.3">
      <c r="A30" s="3">
        <f t="shared" si="8"/>
        <v>22</v>
      </c>
      <c r="B30" s="113">
        <f t="shared" si="4"/>
        <v>45198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195">
        <v>17.847000000000001</v>
      </c>
      <c r="L30" s="187">
        <v>9.5190000000000001</v>
      </c>
      <c r="M30" s="179">
        <f t="shared" si="12"/>
        <v>366.07499999999993</v>
      </c>
      <c r="N30" s="177">
        <f t="shared" si="12"/>
        <v>1535.0230000000001</v>
      </c>
      <c r="O30" s="183"/>
      <c r="P30" s="148"/>
      <c r="Q30" s="17"/>
      <c r="R30" s="17"/>
      <c r="S30" s="49">
        <f t="shared" si="13"/>
        <v>0</v>
      </c>
      <c r="T30" s="17">
        <f t="shared" si="6"/>
        <v>27.366</v>
      </c>
      <c r="U30" s="45">
        <f t="shared" si="3"/>
        <v>0</v>
      </c>
      <c r="V30" s="17">
        <f t="shared" si="7"/>
        <v>1901.098</v>
      </c>
    </row>
    <row r="31" spans="1:24" ht="14.4" x14ac:dyDescent="0.3">
      <c r="A31" s="3">
        <f t="shared" si="8"/>
        <v>23</v>
      </c>
      <c r="B31" s="113">
        <f t="shared" si="4"/>
        <v>45205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195">
        <v>15.907</v>
      </c>
      <c r="L31" s="187">
        <v>64.091999999999999</v>
      </c>
      <c r="M31" s="179">
        <f t="shared" si="12"/>
        <v>381.98199999999991</v>
      </c>
      <c r="N31" s="177">
        <f t="shared" si="12"/>
        <v>1599.1150000000002</v>
      </c>
      <c r="O31" s="182"/>
      <c r="P31" s="147"/>
      <c r="Q31" s="17"/>
      <c r="R31" s="17"/>
      <c r="S31" s="18">
        <f t="shared" si="13"/>
        <v>0</v>
      </c>
      <c r="T31" s="17">
        <f t="shared" si="6"/>
        <v>79.998999999999995</v>
      </c>
      <c r="U31" s="17">
        <f t="shared" si="3"/>
        <v>0</v>
      </c>
      <c r="V31" s="45">
        <f t="shared" si="7"/>
        <v>1981.0970000000002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45212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195">
        <v>20.048999999999999</v>
      </c>
      <c r="L32" s="187">
        <v>64.778999999999996</v>
      </c>
      <c r="M32" s="179">
        <f t="shared" si="12"/>
        <v>402.03099999999989</v>
      </c>
      <c r="N32" s="177">
        <f t="shared" si="12"/>
        <v>1663.8940000000002</v>
      </c>
      <c r="O32" s="182"/>
      <c r="P32" s="147"/>
      <c r="Q32" s="17"/>
      <c r="R32" s="17"/>
      <c r="S32" s="18">
        <f t="shared" si="13"/>
        <v>0</v>
      </c>
      <c r="T32" s="17">
        <f t="shared" si="6"/>
        <v>84.828000000000003</v>
      </c>
      <c r="U32" s="17">
        <f t="shared" si="3"/>
        <v>0</v>
      </c>
      <c r="V32" s="45">
        <f t="shared" si="7"/>
        <v>2065.9250000000002</v>
      </c>
    </row>
    <row r="33" spans="1:22" ht="14.4" x14ac:dyDescent="0.3">
      <c r="A33" s="3">
        <f t="shared" si="8"/>
        <v>25</v>
      </c>
      <c r="B33" s="113">
        <f t="shared" si="4"/>
        <v>45219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195">
        <v>21.452999999999999</v>
      </c>
      <c r="L33" s="187">
        <v>31.745000000000001</v>
      </c>
      <c r="M33" s="179">
        <f t="shared" si="12"/>
        <v>423.48399999999987</v>
      </c>
      <c r="N33" s="177">
        <f t="shared" si="12"/>
        <v>1695.6390000000001</v>
      </c>
      <c r="O33" s="182"/>
      <c r="P33" s="147"/>
      <c r="Q33" s="17"/>
      <c r="R33" s="17"/>
      <c r="S33" s="18">
        <f t="shared" si="13"/>
        <v>0</v>
      </c>
      <c r="T33" s="17">
        <f t="shared" si="6"/>
        <v>53.198</v>
      </c>
      <c r="U33" s="17">
        <f t="shared" si="3"/>
        <v>0</v>
      </c>
      <c r="V33" s="45">
        <f t="shared" si="7"/>
        <v>2119.123</v>
      </c>
    </row>
    <row r="34" spans="1:22" ht="14.4" x14ac:dyDescent="0.3">
      <c r="A34" s="3">
        <f t="shared" si="8"/>
        <v>26</v>
      </c>
      <c r="B34" s="113">
        <f t="shared" si="4"/>
        <v>45226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195">
        <v>25.454999999999998</v>
      </c>
      <c r="L34" s="187">
        <v>40.643999999999998</v>
      </c>
      <c r="M34" s="179">
        <f t="shared" si="12"/>
        <v>448.93899999999985</v>
      </c>
      <c r="N34" s="177">
        <f t="shared" si="12"/>
        <v>1736.2830000000001</v>
      </c>
      <c r="O34" s="182"/>
      <c r="P34" s="147"/>
      <c r="Q34" s="17"/>
      <c r="R34" s="17"/>
      <c r="S34" s="18">
        <f t="shared" si="13"/>
        <v>0</v>
      </c>
      <c r="T34" s="17">
        <f t="shared" si="6"/>
        <v>66.09899999999999</v>
      </c>
      <c r="U34" s="17">
        <f t="shared" si="3"/>
        <v>0</v>
      </c>
      <c r="V34" s="45">
        <f t="shared" si="7"/>
        <v>2185.2219999999998</v>
      </c>
    </row>
    <row r="35" spans="1:22" ht="14.4" x14ac:dyDescent="0.3">
      <c r="A35" s="3">
        <f t="shared" si="8"/>
        <v>27</v>
      </c>
      <c r="B35" s="113">
        <f t="shared" si="4"/>
        <v>45233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195">
        <v>19.068999999999999</v>
      </c>
      <c r="L35" s="187">
        <v>8.8279999999999994</v>
      </c>
      <c r="M35" s="179">
        <f t="shared" si="12"/>
        <v>468.00799999999987</v>
      </c>
      <c r="N35" s="177">
        <f t="shared" si="12"/>
        <v>1745.1110000000001</v>
      </c>
      <c r="O35" s="182"/>
      <c r="P35" s="147"/>
      <c r="Q35" s="17"/>
      <c r="R35" s="17"/>
      <c r="S35" s="18">
        <f t="shared" si="13"/>
        <v>0</v>
      </c>
      <c r="T35" s="17">
        <f t="shared" si="6"/>
        <v>27.896999999999998</v>
      </c>
      <c r="U35" s="17">
        <f t="shared" si="3"/>
        <v>0</v>
      </c>
      <c r="V35" s="45">
        <f t="shared" si="7"/>
        <v>2213.1190000000001</v>
      </c>
    </row>
    <row r="36" spans="1:22" ht="14.4" x14ac:dyDescent="0.3">
      <c r="A36" s="3">
        <f t="shared" si="8"/>
        <v>28</v>
      </c>
      <c r="B36" s="113">
        <f t="shared" si="4"/>
        <v>45240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195">
        <v>19.367999999999999</v>
      </c>
      <c r="L36" s="187">
        <v>66.953999999999994</v>
      </c>
      <c r="M36" s="179">
        <f t="shared" si="12"/>
        <v>487.37599999999986</v>
      </c>
      <c r="N36" s="177">
        <f t="shared" si="12"/>
        <v>1812.0650000000001</v>
      </c>
      <c r="O36" s="182"/>
      <c r="P36" s="147"/>
      <c r="Q36" s="17"/>
      <c r="R36" s="17"/>
      <c r="S36" s="18">
        <f t="shared" si="13"/>
        <v>0</v>
      </c>
      <c r="T36" s="17">
        <f t="shared" si="6"/>
        <v>86.321999999999989</v>
      </c>
      <c r="U36" s="17">
        <f t="shared" si="3"/>
        <v>0</v>
      </c>
      <c r="V36" s="45">
        <f t="shared" si="7"/>
        <v>2299.4409999999998</v>
      </c>
    </row>
    <row r="37" spans="1:22" ht="14.4" x14ac:dyDescent="0.3">
      <c r="A37" s="3">
        <f t="shared" si="8"/>
        <v>29</v>
      </c>
      <c r="B37" s="113">
        <f t="shared" si="4"/>
        <v>45247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195">
        <v>23.582999999999998</v>
      </c>
      <c r="L37" s="187">
        <v>11.026</v>
      </c>
      <c r="M37" s="179">
        <f t="shared" si="12"/>
        <v>510.95899999999983</v>
      </c>
      <c r="N37" s="177">
        <f t="shared" si="12"/>
        <v>1823.0910000000001</v>
      </c>
      <c r="O37" s="182"/>
      <c r="P37" s="147"/>
      <c r="Q37" s="17"/>
      <c r="R37" s="17"/>
      <c r="S37" s="18">
        <f t="shared" si="13"/>
        <v>0</v>
      </c>
      <c r="T37" s="17">
        <f t="shared" si="6"/>
        <v>34.608999999999995</v>
      </c>
      <c r="U37" s="17">
        <f t="shared" si="3"/>
        <v>0</v>
      </c>
      <c r="V37" s="45">
        <f t="shared" si="7"/>
        <v>2334.0500000000002</v>
      </c>
    </row>
    <row r="38" spans="1:22" ht="14.4" x14ac:dyDescent="0.3">
      <c r="A38" s="3">
        <f t="shared" si="8"/>
        <v>30</v>
      </c>
      <c r="B38" s="113">
        <f t="shared" si="4"/>
        <v>45254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195">
        <v>29.774000000000001</v>
      </c>
      <c r="L38" s="187">
        <v>16.574999999999999</v>
      </c>
      <c r="M38" s="179">
        <f t="shared" si="12"/>
        <v>540.73299999999983</v>
      </c>
      <c r="N38" s="177">
        <f t="shared" si="12"/>
        <v>1839.6660000000002</v>
      </c>
      <c r="O38" s="182"/>
      <c r="P38" s="147"/>
      <c r="Q38" s="17"/>
      <c r="R38" s="17"/>
      <c r="S38" s="18">
        <f t="shared" si="13"/>
        <v>0</v>
      </c>
      <c r="T38" s="17">
        <f t="shared" si="6"/>
        <v>46.349000000000004</v>
      </c>
      <c r="U38" s="17">
        <f t="shared" si="3"/>
        <v>0</v>
      </c>
      <c r="V38" s="45">
        <f t="shared" si="7"/>
        <v>2380.3989999999999</v>
      </c>
    </row>
    <row r="39" spans="1:22" ht="14.4" x14ac:dyDescent="0.3">
      <c r="A39" s="3">
        <f t="shared" si="8"/>
        <v>31</v>
      </c>
      <c r="B39" s="113">
        <f t="shared" si="4"/>
        <v>45261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195">
        <v>23.268000000000001</v>
      </c>
      <c r="L39" s="187">
        <v>13.407</v>
      </c>
      <c r="M39" s="179">
        <f t="shared" si="12"/>
        <v>564.00099999999986</v>
      </c>
      <c r="N39" s="177">
        <f t="shared" si="12"/>
        <v>1853.0730000000001</v>
      </c>
      <c r="O39" s="182"/>
      <c r="P39" s="147"/>
      <c r="Q39" s="17"/>
      <c r="R39" s="17"/>
      <c r="S39" s="18">
        <f t="shared" si="13"/>
        <v>0</v>
      </c>
      <c r="T39" s="17">
        <f t="shared" si="6"/>
        <v>36.674999999999997</v>
      </c>
      <c r="U39" s="17">
        <f t="shared" si="3"/>
        <v>0</v>
      </c>
      <c r="V39" s="45">
        <f t="shared" si="7"/>
        <v>2417.0740000000001</v>
      </c>
    </row>
    <row r="40" spans="1:22" ht="14.4" x14ac:dyDescent="0.3">
      <c r="A40" s="3">
        <f t="shared" si="8"/>
        <v>32</v>
      </c>
      <c r="B40" s="113">
        <f t="shared" si="4"/>
        <v>45268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195">
        <v>23.297000000000001</v>
      </c>
      <c r="L40" s="187">
        <v>30.013000000000002</v>
      </c>
      <c r="M40" s="179">
        <f t="shared" si="12"/>
        <v>587.29799999999989</v>
      </c>
      <c r="N40" s="177">
        <f t="shared" si="12"/>
        <v>1883.086</v>
      </c>
      <c r="O40" s="182"/>
      <c r="P40" s="147"/>
      <c r="Q40" s="17"/>
      <c r="R40" s="17"/>
      <c r="S40" s="18">
        <f t="shared" si="13"/>
        <v>0</v>
      </c>
      <c r="T40" s="17">
        <f t="shared" si="6"/>
        <v>53.31</v>
      </c>
      <c r="U40" s="17">
        <f t="shared" si="3"/>
        <v>0</v>
      </c>
      <c r="V40" s="45">
        <f t="shared" si="7"/>
        <v>2470.384</v>
      </c>
    </row>
    <row r="41" spans="1:22" ht="14.4" x14ac:dyDescent="0.3">
      <c r="A41" s="3">
        <f t="shared" si="8"/>
        <v>33</v>
      </c>
      <c r="B41" s="113">
        <f t="shared" si="4"/>
        <v>45275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195">
        <v>19.363</v>
      </c>
      <c r="L41" s="187">
        <v>28.710999999999999</v>
      </c>
      <c r="M41" s="179">
        <f t="shared" si="12"/>
        <v>606.66099999999983</v>
      </c>
      <c r="N41" s="177">
        <f t="shared" si="12"/>
        <v>1911.797</v>
      </c>
      <c r="O41" s="182"/>
      <c r="P41" s="147"/>
      <c r="Q41" s="17"/>
      <c r="R41" s="17"/>
      <c r="S41" s="18">
        <f t="shared" si="13"/>
        <v>0</v>
      </c>
      <c r="T41" s="17">
        <f t="shared" si="6"/>
        <v>48.073999999999998</v>
      </c>
      <c r="U41" s="17">
        <f t="shared" si="3"/>
        <v>0</v>
      </c>
      <c r="V41" s="45">
        <f t="shared" si="7"/>
        <v>2518.4579999999996</v>
      </c>
    </row>
    <row r="42" spans="1:22" ht="14.4" x14ac:dyDescent="0.3">
      <c r="A42" s="3">
        <f t="shared" si="8"/>
        <v>34</v>
      </c>
      <c r="B42" s="113">
        <f t="shared" si="4"/>
        <v>45282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195">
        <v>21.445</v>
      </c>
      <c r="L42" s="187">
        <v>35.392000000000003</v>
      </c>
      <c r="M42" s="179">
        <f t="shared" ref="M42:M56" si="16">M41+K42</f>
        <v>628.10599999999988</v>
      </c>
      <c r="N42" s="177">
        <f t="shared" ref="M42:N57" si="17">N41+L42</f>
        <v>1947.1890000000001</v>
      </c>
      <c r="O42" s="182"/>
      <c r="P42" s="147"/>
      <c r="Q42" s="17"/>
      <c r="R42" s="17"/>
      <c r="S42" s="18">
        <f t="shared" si="13"/>
        <v>0</v>
      </c>
      <c r="T42" s="17">
        <f t="shared" si="6"/>
        <v>56.837000000000003</v>
      </c>
      <c r="U42" s="17">
        <f t="shared" si="3"/>
        <v>0</v>
      </c>
      <c r="V42" s="45">
        <f t="shared" si="7"/>
        <v>2575.2950000000001</v>
      </c>
    </row>
    <row r="43" spans="1:22" ht="14.4" x14ac:dyDescent="0.3">
      <c r="A43" s="3">
        <f t="shared" si="8"/>
        <v>35</v>
      </c>
      <c r="B43" s="113">
        <f t="shared" si="4"/>
        <v>45289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195">
        <v>38.652999999999999</v>
      </c>
      <c r="L43" s="187">
        <v>4.5330000000000004</v>
      </c>
      <c r="M43" s="179">
        <f t="shared" si="16"/>
        <v>666.7589999999999</v>
      </c>
      <c r="N43" s="177">
        <f t="shared" si="17"/>
        <v>1951.722</v>
      </c>
      <c r="O43" s="182"/>
      <c r="P43" s="147"/>
      <c r="Q43" s="17"/>
      <c r="R43" s="17"/>
      <c r="S43" s="18">
        <f t="shared" si="13"/>
        <v>0</v>
      </c>
      <c r="T43" s="17">
        <f t="shared" si="6"/>
        <v>43.186</v>
      </c>
      <c r="U43" s="17">
        <f t="shared" si="3"/>
        <v>0</v>
      </c>
      <c r="V43" s="45">
        <f t="shared" si="7"/>
        <v>2618.4809999999998</v>
      </c>
    </row>
    <row r="44" spans="1:22" ht="14.4" x14ac:dyDescent="0.3">
      <c r="A44" s="3">
        <f t="shared" si="8"/>
        <v>36</v>
      </c>
      <c r="B44" s="113">
        <f t="shared" si="4"/>
        <v>45296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195">
        <v>19.814</v>
      </c>
      <c r="L44" s="187">
        <v>9.7140000000000004</v>
      </c>
      <c r="M44" s="179">
        <f t="shared" si="16"/>
        <v>686.57299999999987</v>
      </c>
      <c r="N44" s="177">
        <f t="shared" si="17"/>
        <v>1961.4359999999999</v>
      </c>
      <c r="O44" s="182"/>
      <c r="P44" s="147"/>
      <c r="Q44" s="17"/>
      <c r="R44" s="17"/>
      <c r="S44" s="18">
        <f t="shared" si="13"/>
        <v>0</v>
      </c>
      <c r="T44" s="17">
        <f t="shared" si="6"/>
        <v>29.527999999999999</v>
      </c>
      <c r="U44" s="17">
        <f t="shared" si="3"/>
        <v>0</v>
      </c>
      <c r="V44" s="45">
        <f t="shared" si="7"/>
        <v>2648.009</v>
      </c>
    </row>
    <row r="45" spans="1:22" ht="14.4" x14ac:dyDescent="0.3">
      <c r="A45" s="3">
        <f t="shared" si="8"/>
        <v>37</v>
      </c>
      <c r="B45" s="113">
        <f t="shared" si="4"/>
        <v>45303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195">
        <v>32.927999999999997</v>
      </c>
      <c r="L45" s="187">
        <v>14.234999999999999</v>
      </c>
      <c r="M45" s="179">
        <f t="shared" si="16"/>
        <v>719.50099999999986</v>
      </c>
      <c r="N45" s="177">
        <f t="shared" si="17"/>
        <v>1975.6709999999998</v>
      </c>
      <c r="O45" s="182"/>
      <c r="P45" s="147"/>
      <c r="Q45" s="17"/>
      <c r="R45" s="17"/>
      <c r="S45" s="18">
        <f t="shared" si="13"/>
        <v>0</v>
      </c>
      <c r="T45" s="17">
        <f t="shared" si="6"/>
        <v>47.162999999999997</v>
      </c>
      <c r="U45" s="17">
        <f t="shared" si="3"/>
        <v>0</v>
      </c>
      <c r="V45" s="45">
        <f t="shared" si="7"/>
        <v>2695.1719999999996</v>
      </c>
    </row>
    <row r="46" spans="1:22" ht="14.4" x14ac:dyDescent="0.3">
      <c r="A46" s="3">
        <f t="shared" si="8"/>
        <v>38</v>
      </c>
      <c r="B46" s="113">
        <f t="shared" si="4"/>
        <v>45310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195">
        <v>37.252000000000002</v>
      </c>
      <c r="L46" s="187">
        <v>10.865</v>
      </c>
      <c r="M46" s="179">
        <f t="shared" si="16"/>
        <v>756.75299999999982</v>
      </c>
      <c r="N46" s="177">
        <f t="shared" si="17"/>
        <v>1986.5359999999998</v>
      </c>
      <c r="O46" s="182"/>
      <c r="P46" s="147"/>
      <c r="Q46" s="17"/>
      <c r="R46" s="17"/>
      <c r="S46" s="18">
        <f t="shared" si="13"/>
        <v>0</v>
      </c>
      <c r="T46" s="17">
        <f t="shared" si="6"/>
        <v>48.117000000000004</v>
      </c>
      <c r="U46" s="17">
        <f t="shared" si="3"/>
        <v>0</v>
      </c>
      <c r="V46" s="45">
        <f t="shared" si="7"/>
        <v>2743.2889999999998</v>
      </c>
    </row>
    <row r="47" spans="1:22" ht="14.4" x14ac:dyDescent="0.3">
      <c r="A47" s="3">
        <f t="shared" si="8"/>
        <v>39</v>
      </c>
      <c r="B47" s="113">
        <f t="shared" si="4"/>
        <v>45317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195">
        <v>43.854999999999997</v>
      </c>
      <c r="L47" s="187">
        <v>16.003</v>
      </c>
      <c r="M47" s="179">
        <f t="shared" si="16"/>
        <v>800.60799999999983</v>
      </c>
      <c r="N47" s="177">
        <f t="shared" si="17"/>
        <v>2002.5389999999998</v>
      </c>
      <c r="O47" s="182"/>
      <c r="P47" s="147"/>
      <c r="Q47" s="17"/>
      <c r="R47" s="17"/>
      <c r="S47" s="18">
        <f t="shared" si="13"/>
        <v>0</v>
      </c>
      <c r="T47" s="17">
        <f t="shared" si="6"/>
        <v>59.857999999999997</v>
      </c>
      <c r="U47" s="17">
        <f t="shared" si="3"/>
        <v>0</v>
      </c>
      <c r="V47" s="45">
        <f t="shared" si="7"/>
        <v>2803.1469999999995</v>
      </c>
    </row>
    <row r="48" spans="1:22" ht="14.4" x14ac:dyDescent="0.3">
      <c r="A48" s="3">
        <f t="shared" si="8"/>
        <v>40</v>
      </c>
      <c r="B48" s="113">
        <f t="shared" si="4"/>
        <v>45324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195">
        <v>57.204000000000001</v>
      </c>
      <c r="L48" s="187">
        <v>11.824999999999999</v>
      </c>
      <c r="M48" s="179">
        <f t="shared" si="16"/>
        <v>857.81199999999978</v>
      </c>
      <c r="N48" s="177">
        <f t="shared" si="17"/>
        <v>2014.3639999999998</v>
      </c>
      <c r="O48" s="182"/>
      <c r="P48" s="147"/>
      <c r="Q48" s="17"/>
      <c r="R48" s="17"/>
      <c r="S48" s="18">
        <f t="shared" si="13"/>
        <v>0</v>
      </c>
      <c r="T48" s="17">
        <f t="shared" si="6"/>
        <v>69.028999999999996</v>
      </c>
      <c r="U48" s="17">
        <f t="shared" si="3"/>
        <v>0</v>
      </c>
      <c r="V48" s="45">
        <f t="shared" si="7"/>
        <v>2872.1759999999995</v>
      </c>
    </row>
    <row r="49" spans="1:22" ht="14.4" x14ac:dyDescent="0.3">
      <c r="A49" s="3">
        <f t="shared" si="8"/>
        <v>41</v>
      </c>
      <c r="B49" s="113">
        <f t="shared" si="4"/>
        <v>45331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195">
        <v>36.116</v>
      </c>
      <c r="L49" s="187">
        <v>13.095000000000001</v>
      </c>
      <c r="M49" s="179">
        <f t="shared" si="16"/>
        <v>893.92799999999977</v>
      </c>
      <c r="N49" s="177">
        <f t="shared" si="17"/>
        <v>2027.4589999999998</v>
      </c>
      <c r="O49" s="182"/>
      <c r="P49" s="147"/>
      <c r="Q49" s="17"/>
      <c r="R49" s="17"/>
      <c r="S49" s="18">
        <f t="shared" si="13"/>
        <v>0</v>
      </c>
      <c r="T49" s="17">
        <f t="shared" si="6"/>
        <v>49.210999999999999</v>
      </c>
      <c r="U49" s="17">
        <f t="shared" si="3"/>
        <v>0</v>
      </c>
      <c r="V49" s="45">
        <f t="shared" si="7"/>
        <v>2921.3869999999997</v>
      </c>
    </row>
    <row r="50" spans="1:22" ht="14.4" x14ac:dyDescent="0.3">
      <c r="A50" s="3">
        <f t="shared" si="8"/>
        <v>42</v>
      </c>
      <c r="B50" s="113">
        <f t="shared" si="4"/>
        <v>45338</v>
      </c>
      <c r="C50" s="114">
        <v>0</v>
      </c>
      <c r="D50" s="114">
        <v>0</v>
      </c>
      <c r="E50" s="61">
        <f t="shared" ref="E50:F59" si="18">+C50</f>
        <v>0</v>
      </c>
      <c r="F50" s="61">
        <f t="shared" si="18"/>
        <v>0</v>
      </c>
      <c r="G50" s="152">
        <v>0</v>
      </c>
      <c r="H50" s="153">
        <v>0</v>
      </c>
      <c r="I50" s="61">
        <f t="shared" ref="I50:J59" si="19">+G50</f>
        <v>0</v>
      </c>
      <c r="J50" s="61">
        <f t="shared" si="19"/>
        <v>0</v>
      </c>
      <c r="K50" s="195">
        <v>36.432000000000002</v>
      </c>
      <c r="L50" s="187">
        <v>12.663</v>
      </c>
      <c r="M50" s="179">
        <f t="shared" si="16"/>
        <v>930.35999999999979</v>
      </c>
      <c r="N50" s="177">
        <f t="shared" si="17"/>
        <v>2040.1219999999998</v>
      </c>
      <c r="O50" s="182"/>
      <c r="P50" s="147"/>
      <c r="Q50" s="17"/>
      <c r="R50" s="17"/>
      <c r="S50" s="18">
        <f t="shared" si="13"/>
        <v>0</v>
      </c>
      <c r="T50" s="17">
        <f t="shared" si="6"/>
        <v>49.094999999999999</v>
      </c>
      <c r="U50" s="17">
        <f t="shared" si="3"/>
        <v>0</v>
      </c>
      <c r="V50" s="45">
        <f t="shared" si="7"/>
        <v>2970.4819999999995</v>
      </c>
    </row>
    <row r="51" spans="1:22" ht="14.4" x14ac:dyDescent="0.3">
      <c r="A51" s="3">
        <f t="shared" si="8"/>
        <v>43</v>
      </c>
      <c r="B51" s="113">
        <f t="shared" si="4"/>
        <v>45345</v>
      </c>
      <c r="C51" s="114">
        <v>0</v>
      </c>
      <c r="D51" s="114">
        <v>0</v>
      </c>
      <c r="E51" s="61">
        <f t="shared" si="18"/>
        <v>0</v>
      </c>
      <c r="F51" s="61">
        <f t="shared" si="18"/>
        <v>0</v>
      </c>
      <c r="G51" s="152">
        <v>0</v>
      </c>
      <c r="H51" s="153">
        <v>0</v>
      </c>
      <c r="I51" s="61">
        <f t="shared" si="19"/>
        <v>0</v>
      </c>
      <c r="J51" s="61">
        <f t="shared" si="19"/>
        <v>0</v>
      </c>
      <c r="K51" s="195">
        <v>35.963000000000001</v>
      </c>
      <c r="L51" s="187">
        <v>15.212999999999999</v>
      </c>
      <c r="M51" s="179">
        <f t="shared" si="16"/>
        <v>966.32299999999975</v>
      </c>
      <c r="N51" s="177">
        <f t="shared" si="17"/>
        <v>2055.335</v>
      </c>
      <c r="O51" s="182"/>
      <c r="P51" s="147"/>
      <c r="Q51" s="17"/>
      <c r="R51" s="17"/>
      <c r="S51" s="18">
        <f t="shared" si="13"/>
        <v>0</v>
      </c>
      <c r="T51" s="17">
        <f t="shared" si="6"/>
        <v>51.176000000000002</v>
      </c>
      <c r="U51" s="17">
        <f t="shared" si="3"/>
        <v>0</v>
      </c>
      <c r="V51" s="45">
        <f t="shared" si="7"/>
        <v>3021.6579999999999</v>
      </c>
    </row>
    <row r="52" spans="1:22" ht="14.4" x14ac:dyDescent="0.3">
      <c r="A52" s="3">
        <f t="shared" si="8"/>
        <v>44</v>
      </c>
      <c r="B52" s="113">
        <f t="shared" si="4"/>
        <v>45352</v>
      </c>
      <c r="C52" s="114">
        <v>0</v>
      </c>
      <c r="D52" s="114">
        <v>0</v>
      </c>
      <c r="E52" s="61">
        <f t="shared" si="18"/>
        <v>0</v>
      </c>
      <c r="F52" s="61">
        <f t="shared" si="18"/>
        <v>0</v>
      </c>
      <c r="G52" s="152">
        <v>0</v>
      </c>
      <c r="H52" s="153">
        <v>0</v>
      </c>
      <c r="I52" s="61">
        <f t="shared" si="19"/>
        <v>0</v>
      </c>
      <c r="J52" s="61">
        <f t="shared" si="19"/>
        <v>0</v>
      </c>
      <c r="K52" s="199">
        <v>33.392000000000003</v>
      </c>
      <c r="L52" s="187">
        <v>11.584</v>
      </c>
      <c r="M52" s="179">
        <f t="shared" si="16"/>
        <v>999.7149999999998</v>
      </c>
      <c r="N52" s="177">
        <f t="shared" si="17"/>
        <v>2066.9189999999999</v>
      </c>
      <c r="O52" s="182"/>
      <c r="P52" s="147"/>
      <c r="Q52" s="17"/>
      <c r="R52" s="17"/>
      <c r="S52" s="18">
        <f t="shared" si="13"/>
        <v>0</v>
      </c>
      <c r="T52" s="17">
        <f t="shared" si="6"/>
        <v>44.975999999999999</v>
      </c>
      <c r="U52" s="17">
        <f t="shared" si="3"/>
        <v>0</v>
      </c>
      <c r="V52" s="45">
        <f t="shared" si="7"/>
        <v>3066.6339999999996</v>
      </c>
    </row>
    <row r="53" spans="1:22" ht="14.4" x14ac:dyDescent="0.3">
      <c r="A53" s="3">
        <f t="shared" si="8"/>
        <v>45</v>
      </c>
      <c r="B53" s="113">
        <f t="shared" si="4"/>
        <v>45359</v>
      </c>
      <c r="C53" s="114">
        <v>0</v>
      </c>
      <c r="D53" s="114">
        <v>0</v>
      </c>
      <c r="E53" s="61">
        <f t="shared" si="18"/>
        <v>0</v>
      </c>
      <c r="F53" s="61">
        <f t="shared" si="18"/>
        <v>0</v>
      </c>
      <c r="G53" s="152">
        <v>0</v>
      </c>
      <c r="H53" s="153">
        <v>0</v>
      </c>
      <c r="I53" s="61">
        <f t="shared" si="19"/>
        <v>0</v>
      </c>
      <c r="J53" s="61">
        <f t="shared" si="19"/>
        <v>0</v>
      </c>
      <c r="K53" s="199">
        <v>33.210999999999999</v>
      </c>
      <c r="L53" s="187">
        <v>14.439</v>
      </c>
      <c r="M53" s="179">
        <f t="shared" si="16"/>
        <v>1032.9259999999997</v>
      </c>
      <c r="N53" s="177">
        <f t="shared" si="17"/>
        <v>2081.3579999999997</v>
      </c>
      <c r="O53" s="182"/>
      <c r="P53" s="147"/>
      <c r="Q53" s="17"/>
      <c r="R53" s="17"/>
      <c r="S53" s="18">
        <f t="shared" si="13"/>
        <v>0</v>
      </c>
      <c r="T53" s="17">
        <f t="shared" si="6"/>
        <v>47.65</v>
      </c>
      <c r="U53" s="17">
        <f t="shared" si="3"/>
        <v>0</v>
      </c>
      <c r="V53" s="45">
        <f t="shared" si="7"/>
        <v>3114.2839999999997</v>
      </c>
    </row>
    <row r="54" spans="1:22" ht="14.4" x14ac:dyDescent="0.3">
      <c r="A54" s="3">
        <f t="shared" si="8"/>
        <v>46</v>
      </c>
      <c r="B54" s="113">
        <f t="shared" si="4"/>
        <v>45366</v>
      </c>
      <c r="C54" s="114">
        <v>0</v>
      </c>
      <c r="D54" s="114">
        <v>0</v>
      </c>
      <c r="E54" s="61">
        <f t="shared" si="18"/>
        <v>0</v>
      </c>
      <c r="F54" s="61">
        <f t="shared" si="18"/>
        <v>0</v>
      </c>
      <c r="G54" s="152">
        <v>0</v>
      </c>
      <c r="H54" s="153">
        <v>0</v>
      </c>
      <c r="I54" s="61">
        <f t="shared" si="19"/>
        <v>0</v>
      </c>
      <c r="J54" s="61">
        <f t="shared" si="19"/>
        <v>0</v>
      </c>
      <c r="K54" s="199">
        <v>34.374000000000002</v>
      </c>
      <c r="L54" s="187">
        <v>12.907</v>
      </c>
      <c r="M54" s="179">
        <f t="shared" si="16"/>
        <v>1067.2999999999997</v>
      </c>
      <c r="N54" s="177">
        <f t="shared" si="17"/>
        <v>2094.2649999999999</v>
      </c>
      <c r="O54" s="182"/>
      <c r="P54" s="147"/>
      <c r="Q54" s="17"/>
      <c r="R54" s="17"/>
      <c r="S54" s="18">
        <f t="shared" si="13"/>
        <v>0</v>
      </c>
      <c r="T54" s="17">
        <f t="shared" si="6"/>
        <v>47.281000000000006</v>
      </c>
      <c r="U54" s="17">
        <f t="shared" si="3"/>
        <v>0</v>
      </c>
      <c r="V54" s="45">
        <f t="shared" si="7"/>
        <v>3161.5649999999996</v>
      </c>
    </row>
    <row r="55" spans="1:22" ht="14.4" x14ac:dyDescent="0.3">
      <c r="A55" s="3">
        <f t="shared" si="8"/>
        <v>47</v>
      </c>
      <c r="B55" s="113">
        <f t="shared" si="4"/>
        <v>45373</v>
      </c>
      <c r="C55" s="114">
        <v>0</v>
      </c>
      <c r="D55" s="114">
        <v>0</v>
      </c>
      <c r="E55" s="61">
        <f t="shared" si="18"/>
        <v>0</v>
      </c>
      <c r="F55" s="61">
        <f t="shared" si="18"/>
        <v>0</v>
      </c>
      <c r="G55" s="152">
        <v>0</v>
      </c>
      <c r="H55" s="153">
        <v>0</v>
      </c>
      <c r="I55" s="61">
        <f t="shared" si="19"/>
        <v>0</v>
      </c>
      <c r="J55" s="61">
        <f t="shared" si="19"/>
        <v>0</v>
      </c>
      <c r="K55" s="199">
        <v>35.055</v>
      </c>
      <c r="L55" s="187">
        <v>12.516999999999999</v>
      </c>
      <c r="M55" s="179">
        <f t="shared" si="16"/>
        <v>1102.3549999999998</v>
      </c>
      <c r="N55" s="177">
        <f t="shared" si="17"/>
        <v>2106.7819999999997</v>
      </c>
      <c r="O55" s="182"/>
      <c r="P55" s="147"/>
      <c r="Q55" s="17"/>
      <c r="R55" s="17"/>
      <c r="S55" s="18">
        <f t="shared" si="13"/>
        <v>0</v>
      </c>
      <c r="T55" s="17">
        <f t="shared" si="6"/>
        <v>47.572000000000003</v>
      </c>
      <c r="U55" s="17">
        <f t="shared" si="3"/>
        <v>0</v>
      </c>
      <c r="V55" s="45">
        <f t="shared" si="7"/>
        <v>3209.1369999999997</v>
      </c>
    </row>
    <row r="56" spans="1:22" ht="14.4" x14ac:dyDescent="0.3">
      <c r="A56" s="3">
        <f t="shared" si="8"/>
        <v>48</v>
      </c>
      <c r="B56" s="113">
        <f t="shared" si="4"/>
        <v>45380</v>
      </c>
      <c r="C56" s="114">
        <v>0</v>
      </c>
      <c r="D56" s="114">
        <v>0</v>
      </c>
      <c r="E56" s="61">
        <f t="shared" si="18"/>
        <v>0</v>
      </c>
      <c r="F56" s="61">
        <f t="shared" si="18"/>
        <v>0</v>
      </c>
      <c r="G56" s="152">
        <v>0</v>
      </c>
      <c r="H56" s="153">
        <v>0</v>
      </c>
      <c r="I56" s="61">
        <f t="shared" si="19"/>
        <v>0</v>
      </c>
      <c r="J56" s="61">
        <f t="shared" si="19"/>
        <v>0</v>
      </c>
      <c r="K56" s="199">
        <v>30.661999999999999</v>
      </c>
      <c r="L56" s="187">
        <v>8.5579999999999998</v>
      </c>
      <c r="M56" s="179">
        <f t="shared" si="16"/>
        <v>1133.0169999999998</v>
      </c>
      <c r="N56" s="177">
        <f t="shared" si="17"/>
        <v>2115.3399999999997</v>
      </c>
      <c r="O56" s="182"/>
      <c r="P56" s="147"/>
      <c r="Q56" s="17"/>
      <c r="R56" s="17"/>
      <c r="S56" s="18">
        <f t="shared" si="13"/>
        <v>0</v>
      </c>
      <c r="T56" s="17">
        <f t="shared" si="6"/>
        <v>39.22</v>
      </c>
      <c r="U56" s="17">
        <f t="shared" si="3"/>
        <v>0</v>
      </c>
      <c r="V56" s="45">
        <f t="shared" si="7"/>
        <v>3248.3569999999995</v>
      </c>
    </row>
    <row r="57" spans="1:22" ht="14.4" x14ac:dyDescent="0.3">
      <c r="A57" s="3">
        <f t="shared" si="8"/>
        <v>49</v>
      </c>
      <c r="B57" s="113">
        <f t="shared" si="4"/>
        <v>45387</v>
      </c>
      <c r="C57" s="114">
        <v>0</v>
      </c>
      <c r="D57" s="114">
        <v>0</v>
      </c>
      <c r="E57" s="61">
        <f t="shared" si="18"/>
        <v>0</v>
      </c>
      <c r="F57" s="61">
        <f t="shared" si="18"/>
        <v>0</v>
      </c>
      <c r="G57" s="152">
        <v>0</v>
      </c>
      <c r="H57" s="153">
        <v>0</v>
      </c>
      <c r="I57" s="61">
        <f t="shared" si="19"/>
        <v>0</v>
      </c>
      <c r="J57" s="61">
        <f t="shared" si="19"/>
        <v>0</v>
      </c>
      <c r="K57" s="199">
        <v>28.271000000000001</v>
      </c>
      <c r="L57" s="187">
        <v>10.582000000000001</v>
      </c>
      <c r="M57" s="179">
        <f t="shared" si="17"/>
        <v>1161.2879999999998</v>
      </c>
      <c r="N57" s="177">
        <f t="shared" si="17"/>
        <v>2125.9219999999996</v>
      </c>
      <c r="O57" s="182"/>
      <c r="P57" s="147"/>
      <c r="Q57" s="17"/>
      <c r="R57" s="17"/>
      <c r="S57" s="18">
        <f t="shared" si="13"/>
        <v>0</v>
      </c>
      <c r="T57" s="17">
        <f>K57+L57</f>
        <v>38.853000000000002</v>
      </c>
      <c r="U57" s="17">
        <f t="shared" si="3"/>
        <v>0</v>
      </c>
      <c r="V57" s="45">
        <f t="shared" si="7"/>
        <v>3287.2099999999991</v>
      </c>
    </row>
    <row r="58" spans="1:22" ht="14.4" x14ac:dyDescent="0.3">
      <c r="A58" s="3">
        <f t="shared" si="8"/>
        <v>50</v>
      </c>
      <c r="B58" s="113">
        <f t="shared" si="4"/>
        <v>45394</v>
      </c>
      <c r="C58" s="114">
        <v>0</v>
      </c>
      <c r="D58" s="114">
        <v>0</v>
      </c>
      <c r="E58" s="61">
        <f t="shared" si="18"/>
        <v>0</v>
      </c>
      <c r="F58" s="61">
        <f t="shared" si="18"/>
        <v>0</v>
      </c>
      <c r="G58" s="152">
        <v>0</v>
      </c>
      <c r="H58" s="153">
        <v>0</v>
      </c>
      <c r="I58" s="61">
        <f t="shared" si="19"/>
        <v>0</v>
      </c>
      <c r="J58" s="61">
        <f t="shared" si="19"/>
        <v>0</v>
      </c>
      <c r="K58" s="199">
        <v>34.404000000000003</v>
      </c>
      <c r="L58" s="187">
        <v>12.662000000000001</v>
      </c>
      <c r="M58" s="179">
        <f t="shared" ref="M58:N60" si="20">M57+K58</f>
        <v>1195.6919999999998</v>
      </c>
      <c r="N58" s="177">
        <f t="shared" si="20"/>
        <v>2138.5839999999994</v>
      </c>
      <c r="O58" s="182"/>
      <c r="P58" s="147"/>
      <c r="Q58" s="17"/>
      <c r="R58" s="17"/>
      <c r="S58" s="18">
        <f t="shared" si="13"/>
        <v>0</v>
      </c>
      <c r="T58" s="17">
        <f t="shared" si="6"/>
        <v>47.066000000000003</v>
      </c>
      <c r="U58" s="17">
        <f t="shared" si="3"/>
        <v>0</v>
      </c>
      <c r="V58" s="45">
        <f t="shared" si="7"/>
        <v>3334.2759999999989</v>
      </c>
    </row>
    <row r="59" spans="1:22" ht="14.4" x14ac:dyDescent="0.3">
      <c r="A59" s="3">
        <f t="shared" si="8"/>
        <v>51</v>
      </c>
      <c r="B59" s="113">
        <f t="shared" si="4"/>
        <v>45401</v>
      </c>
      <c r="C59" s="114">
        <v>0</v>
      </c>
      <c r="D59" s="114">
        <v>0</v>
      </c>
      <c r="E59" s="61">
        <f t="shared" si="18"/>
        <v>0</v>
      </c>
      <c r="F59" s="61">
        <f t="shared" si="18"/>
        <v>0</v>
      </c>
      <c r="G59" s="152">
        <v>0</v>
      </c>
      <c r="H59" s="153">
        <v>0</v>
      </c>
      <c r="I59" s="61">
        <f t="shared" si="19"/>
        <v>0</v>
      </c>
      <c r="J59" s="61">
        <f t="shared" si="19"/>
        <v>0</v>
      </c>
      <c r="K59" s="196">
        <v>30.89</v>
      </c>
      <c r="L59" s="200">
        <v>13.307</v>
      </c>
      <c r="M59" s="179">
        <f t="shared" si="20"/>
        <v>1226.5819999999999</v>
      </c>
      <c r="N59" s="177">
        <f t="shared" si="20"/>
        <v>2151.8909999999992</v>
      </c>
      <c r="O59" s="182"/>
      <c r="P59" s="147"/>
      <c r="Q59" s="17"/>
      <c r="R59" s="17"/>
      <c r="S59" s="18">
        <f t="shared" si="13"/>
        <v>0</v>
      </c>
      <c r="T59" s="17">
        <f t="shared" si="6"/>
        <v>44.197000000000003</v>
      </c>
      <c r="U59" s="17">
        <f t="shared" si="3"/>
        <v>0</v>
      </c>
      <c r="V59" s="45">
        <f t="shared" si="7"/>
        <v>3378.472999999999</v>
      </c>
    </row>
    <row r="60" spans="1:22" ht="14.4" x14ac:dyDescent="0.3">
      <c r="A60" s="3">
        <f t="shared" si="8"/>
        <v>52</v>
      </c>
      <c r="B60" s="113">
        <f t="shared" si="4"/>
        <v>45408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196">
        <v>23.164000000000001</v>
      </c>
      <c r="L60" s="187">
        <v>15.237</v>
      </c>
      <c r="M60" s="179">
        <f t="shared" si="20"/>
        <v>1249.7459999999999</v>
      </c>
      <c r="N60" s="177">
        <f t="shared" si="20"/>
        <v>2167.1279999999992</v>
      </c>
      <c r="O60" s="182"/>
      <c r="P60" s="147"/>
      <c r="Q60" s="17"/>
      <c r="R60" s="17"/>
      <c r="S60" s="18">
        <f t="shared" si="13"/>
        <v>0</v>
      </c>
      <c r="T60" s="17">
        <f t="shared" si="6"/>
        <v>38.401000000000003</v>
      </c>
      <c r="U60" s="17">
        <f t="shared" si="3"/>
        <v>0</v>
      </c>
      <c r="V60" s="45">
        <f t="shared" si="7"/>
        <v>3416.8739999999989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197"/>
      <c r="L61" s="188"/>
      <c r="M61" s="180">
        <f>M60+K61</f>
        <v>1249.7459999999999</v>
      </c>
      <c r="N61" s="185">
        <f>N60+L61</f>
        <v>2167.1279999999992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3416.8739999999989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177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198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abSelected="1" topLeftCell="A26" zoomScale="98" zoomScaleNormal="98" workbookViewId="0">
      <selection activeCell="L43" sqref="L43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201" customWidth="1"/>
    <col min="12" max="12" width="11.44140625" style="201" customWidth="1"/>
    <col min="13" max="13" width="10.6640625" style="201" customWidth="1"/>
    <col min="14" max="14" width="11.5546875" style="201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268</v>
      </c>
    </row>
    <row r="2" spans="1:23" ht="15.6" x14ac:dyDescent="0.3">
      <c r="C2" s="78" t="s">
        <v>269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8" t="s">
        <v>235</v>
      </c>
      <c r="L4" s="229"/>
      <c r="M4" s="230" t="s">
        <v>235</v>
      </c>
      <c r="N4" s="231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8" t="s">
        <v>236</v>
      </c>
      <c r="L5" s="229"/>
      <c r="M5" s="230" t="s">
        <v>236</v>
      </c>
      <c r="N5" s="231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202" t="s">
        <v>29</v>
      </c>
      <c r="L6" s="203" t="s">
        <v>30</v>
      </c>
      <c r="M6" s="212" t="s">
        <v>29</v>
      </c>
      <c r="N6" s="213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204"/>
      <c r="L7" s="205"/>
      <c r="M7" s="212" t="s">
        <v>34</v>
      </c>
      <c r="N7" s="212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206" t="s">
        <v>37</v>
      </c>
      <c r="L8" s="207" t="s">
        <v>37</v>
      </c>
      <c r="M8" s="214" t="s">
        <v>37</v>
      </c>
      <c r="N8" s="214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45415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95">
        <v>14214</v>
      </c>
      <c r="L9" s="95">
        <v>7343</v>
      </c>
      <c r="M9" s="215">
        <f>K9</f>
        <v>14214</v>
      </c>
      <c r="N9" s="216">
        <f>L9</f>
        <v>7343</v>
      </c>
      <c r="O9" s="181"/>
      <c r="P9" s="16"/>
      <c r="Q9" s="16"/>
      <c r="R9" s="16"/>
      <c r="S9" s="16">
        <f t="shared" ref="S9:S27" si="2">C9+D9</f>
        <v>0</v>
      </c>
      <c r="T9" s="16">
        <f>K9+L9</f>
        <v>21557</v>
      </c>
      <c r="U9" s="16">
        <f t="shared" ref="U9:U60" si="3">E9+F9</f>
        <v>0</v>
      </c>
      <c r="V9" s="16">
        <f>M9+N9</f>
        <v>21557</v>
      </c>
    </row>
    <row r="10" spans="1:23" ht="14.4" x14ac:dyDescent="0.3">
      <c r="A10" s="3">
        <f>A9+1</f>
        <v>2</v>
      </c>
      <c r="B10" s="113">
        <f t="shared" ref="B10:B60" si="4">B9+7</f>
        <v>45422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95">
        <v>21635</v>
      </c>
      <c r="L10" s="95">
        <v>9756</v>
      </c>
      <c r="M10" s="217">
        <f t="shared" ref="M10:N25" si="5">M9+K10</f>
        <v>35849</v>
      </c>
      <c r="N10" s="216">
        <f t="shared" si="5"/>
        <v>17099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31391</v>
      </c>
      <c r="U10" s="17">
        <f t="shared" si="3"/>
        <v>0</v>
      </c>
      <c r="V10" s="17">
        <f t="shared" ref="V10:V60" si="7">M10+N10</f>
        <v>52948</v>
      </c>
    </row>
    <row r="11" spans="1:23" ht="14.4" x14ac:dyDescent="0.3">
      <c r="A11" s="3">
        <f t="shared" ref="A11:A61" si="8">A10+1</f>
        <v>3</v>
      </c>
      <c r="B11" s="113">
        <f t="shared" si="4"/>
        <v>45429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95">
        <v>22745</v>
      </c>
      <c r="L11" s="95">
        <v>12433</v>
      </c>
      <c r="M11" s="217">
        <f t="shared" si="5"/>
        <v>58594</v>
      </c>
      <c r="N11" s="216">
        <f t="shared" si="5"/>
        <v>29532</v>
      </c>
      <c r="O11" s="45"/>
      <c r="P11" s="17"/>
      <c r="Q11" s="17"/>
      <c r="R11" s="17"/>
      <c r="S11" s="17">
        <f t="shared" si="2"/>
        <v>0</v>
      </c>
      <c r="T11" s="17">
        <f t="shared" si="6"/>
        <v>35178</v>
      </c>
      <c r="U11" s="17">
        <f t="shared" si="3"/>
        <v>0</v>
      </c>
      <c r="V11" s="17">
        <f t="shared" si="7"/>
        <v>88126</v>
      </c>
    </row>
    <row r="12" spans="1:23" ht="14.4" x14ac:dyDescent="0.3">
      <c r="A12" s="3">
        <f t="shared" si="8"/>
        <v>4</v>
      </c>
      <c r="B12" s="113">
        <f t="shared" si="4"/>
        <v>45436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95">
        <v>22300</v>
      </c>
      <c r="L12" s="95">
        <v>15500</v>
      </c>
      <c r="M12" s="217">
        <f t="shared" si="5"/>
        <v>80894</v>
      </c>
      <c r="N12" s="216">
        <f t="shared" si="5"/>
        <v>45032</v>
      </c>
      <c r="O12" s="45"/>
      <c r="P12" s="17"/>
      <c r="Q12" s="17"/>
      <c r="R12" s="17"/>
      <c r="S12" s="17">
        <f t="shared" si="2"/>
        <v>0</v>
      </c>
      <c r="T12" s="17">
        <f t="shared" si="6"/>
        <v>37800</v>
      </c>
      <c r="U12" s="17">
        <f t="shared" si="3"/>
        <v>0</v>
      </c>
      <c r="V12" s="17">
        <f t="shared" si="7"/>
        <v>125926</v>
      </c>
    </row>
    <row r="13" spans="1:23" ht="14.4" x14ac:dyDescent="0.3">
      <c r="A13" s="3">
        <f t="shared" si="8"/>
        <v>5</v>
      </c>
      <c r="B13" s="113">
        <f t="shared" si="4"/>
        <v>45443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95">
        <v>28545</v>
      </c>
      <c r="L13" s="95">
        <v>17244</v>
      </c>
      <c r="M13" s="217">
        <f t="shared" si="5"/>
        <v>109439</v>
      </c>
      <c r="N13" s="216">
        <f t="shared" si="5"/>
        <v>62276</v>
      </c>
      <c r="O13" s="45"/>
      <c r="P13" s="17"/>
      <c r="Q13" s="17"/>
      <c r="R13" s="17"/>
      <c r="S13" s="17">
        <f t="shared" si="2"/>
        <v>0</v>
      </c>
      <c r="T13" s="17">
        <f t="shared" si="6"/>
        <v>45789</v>
      </c>
      <c r="U13" s="17">
        <f t="shared" si="3"/>
        <v>0</v>
      </c>
      <c r="V13" s="17">
        <f t="shared" si="7"/>
        <v>171715</v>
      </c>
    </row>
    <row r="14" spans="1:23" ht="14.4" x14ac:dyDescent="0.3">
      <c r="A14" s="3">
        <f t="shared" si="8"/>
        <v>6</v>
      </c>
      <c r="B14" s="113">
        <f t="shared" si="4"/>
        <v>45450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95">
        <v>26777</v>
      </c>
      <c r="L14" s="95">
        <v>14467</v>
      </c>
      <c r="M14" s="217">
        <f t="shared" si="5"/>
        <v>136216</v>
      </c>
      <c r="N14" s="216">
        <f t="shared" si="5"/>
        <v>76743</v>
      </c>
      <c r="O14" s="45"/>
      <c r="P14" s="17"/>
      <c r="Q14" s="17"/>
      <c r="R14" s="17"/>
      <c r="S14" s="17">
        <f t="shared" si="2"/>
        <v>0</v>
      </c>
      <c r="T14" s="17">
        <f t="shared" si="6"/>
        <v>41244</v>
      </c>
      <c r="U14" s="17">
        <f t="shared" si="3"/>
        <v>0</v>
      </c>
      <c r="V14" s="17">
        <f t="shared" si="7"/>
        <v>212959</v>
      </c>
    </row>
    <row r="15" spans="1:23" ht="14.4" x14ac:dyDescent="0.3">
      <c r="A15" s="3">
        <f t="shared" si="8"/>
        <v>7</v>
      </c>
      <c r="B15" s="113">
        <f t="shared" si="4"/>
        <v>45457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95">
        <v>23253</v>
      </c>
      <c r="L15" s="95">
        <v>17559</v>
      </c>
      <c r="M15" s="217">
        <f t="shared" si="5"/>
        <v>159469</v>
      </c>
      <c r="N15" s="216">
        <f t="shared" si="5"/>
        <v>94302</v>
      </c>
      <c r="O15" s="45"/>
      <c r="P15" s="17"/>
      <c r="Q15" s="17"/>
      <c r="R15" s="17"/>
      <c r="S15" s="17">
        <f t="shared" si="2"/>
        <v>0</v>
      </c>
      <c r="T15" s="17">
        <f t="shared" si="6"/>
        <v>40812</v>
      </c>
      <c r="U15" s="17">
        <f t="shared" si="3"/>
        <v>0</v>
      </c>
      <c r="V15" s="17">
        <f t="shared" si="7"/>
        <v>253771</v>
      </c>
    </row>
    <row r="16" spans="1:23" ht="14.4" x14ac:dyDescent="0.3">
      <c r="A16" s="3">
        <f t="shared" si="8"/>
        <v>8</v>
      </c>
      <c r="B16" s="113">
        <f t="shared" si="4"/>
        <v>45464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95">
        <v>25449</v>
      </c>
      <c r="L16" s="95">
        <v>14173</v>
      </c>
      <c r="M16" s="217">
        <f t="shared" si="5"/>
        <v>184918</v>
      </c>
      <c r="N16" s="216">
        <f t="shared" si="5"/>
        <v>108475</v>
      </c>
      <c r="O16" s="45"/>
      <c r="P16" s="17"/>
      <c r="Q16" s="17"/>
      <c r="R16" s="17"/>
      <c r="S16" s="17">
        <f t="shared" si="2"/>
        <v>0</v>
      </c>
      <c r="T16" s="17">
        <f t="shared" si="6"/>
        <v>39622</v>
      </c>
      <c r="U16" s="17">
        <f t="shared" si="3"/>
        <v>0</v>
      </c>
      <c r="V16" s="17">
        <f t="shared" si="7"/>
        <v>293393</v>
      </c>
    </row>
    <row r="17" spans="1:24" ht="14.4" x14ac:dyDescent="0.3">
      <c r="A17" s="3">
        <f t="shared" si="8"/>
        <v>9</v>
      </c>
      <c r="B17" s="113">
        <f t="shared" si="4"/>
        <v>45471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95">
        <v>29977</v>
      </c>
      <c r="L17" s="95">
        <v>15529</v>
      </c>
      <c r="M17" s="217">
        <f t="shared" si="5"/>
        <v>214895</v>
      </c>
      <c r="N17" s="216">
        <f t="shared" si="5"/>
        <v>124004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45506</v>
      </c>
      <c r="U17" s="17">
        <f t="shared" si="3"/>
        <v>0</v>
      </c>
      <c r="V17" s="17">
        <f t="shared" si="7"/>
        <v>338899</v>
      </c>
    </row>
    <row r="18" spans="1:24" ht="14.4" x14ac:dyDescent="0.3">
      <c r="A18" s="3">
        <f t="shared" si="8"/>
        <v>10</v>
      </c>
      <c r="B18" s="113">
        <f t="shared" si="4"/>
        <v>45478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95">
        <v>27417</v>
      </c>
      <c r="L18" s="95">
        <v>12159</v>
      </c>
      <c r="M18" s="217">
        <f t="shared" si="5"/>
        <v>242312</v>
      </c>
      <c r="N18" s="216">
        <f t="shared" si="5"/>
        <v>136163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39576</v>
      </c>
      <c r="U18" s="17">
        <f t="shared" si="3"/>
        <v>0</v>
      </c>
      <c r="V18" s="17">
        <f t="shared" si="7"/>
        <v>378475</v>
      </c>
    </row>
    <row r="19" spans="1:24" ht="14.4" x14ac:dyDescent="0.3">
      <c r="A19" s="3">
        <f t="shared" si="8"/>
        <v>11</v>
      </c>
      <c r="B19" s="113">
        <f t="shared" si="4"/>
        <v>45485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95">
        <v>40643</v>
      </c>
      <c r="L19" s="95">
        <v>15252</v>
      </c>
      <c r="M19" s="217">
        <f t="shared" si="5"/>
        <v>282955</v>
      </c>
      <c r="N19" s="216">
        <f t="shared" si="5"/>
        <v>151415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55895</v>
      </c>
      <c r="U19" s="17">
        <f t="shared" si="3"/>
        <v>0</v>
      </c>
      <c r="V19" s="17">
        <f t="shared" si="7"/>
        <v>434370</v>
      </c>
    </row>
    <row r="20" spans="1:24" ht="14.4" x14ac:dyDescent="0.3">
      <c r="A20" s="3">
        <f t="shared" si="8"/>
        <v>12</v>
      </c>
      <c r="B20" s="113">
        <f t="shared" si="4"/>
        <v>45492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95">
        <v>30927</v>
      </c>
      <c r="L20" s="95">
        <v>15011</v>
      </c>
      <c r="M20" s="217">
        <f t="shared" si="5"/>
        <v>313882</v>
      </c>
      <c r="N20" s="216">
        <f t="shared" si="5"/>
        <v>166426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45938</v>
      </c>
      <c r="U20" s="17">
        <f t="shared" si="3"/>
        <v>0</v>
      </c>
      <c r="V20" s="17">
        <f t="shared" si="7"/>
        <v>480308</v>
      </c>
    </row>
    <row r="21" spans="1:24" ht="14.4" x14ac:dyDescent="0.3">
      <c r="A21" s="3">
        <f t="shared" si="8"/>
        <v>13</v>
      </c>
      <c r="B21" s="113">
        <f t="shared" si="4"/>
        <v>45499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95">
        <v>43093</v>
      </c>
      <c r="L21" s="95">
        <v>15063</v>
      </c>
      <c r="M21" s="217">
        <f t="shared" si="5"/>
        <v>356975</v>
      </c>
      <c r="N21" s="216">
        <f t="shared" si="5"/>
        <v>181489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58156</v>
      </c>
      <c r="U21" s="17">
        <f t="shared" si="3"/>
        <v>0</v>
      </c>
      <c r="V21" s="17">
        <f t="shared" si="7"/>
        <v>538464</v>
      </c>
    </row>
    <row r="22" spans="1:24" ht="14.4" x14ac:dyDescent="0.3">
      <c r="A22" s="3">
        <f t="shared" si="8"/>
        <v>14</v>
      </c>
      <c r="B22" s="113">
        <f t="shared" si="4"/>
        <v>45506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95">
        <v>26820</v>
      </c>
      <c r="L22" s="95">
        <v>16080</v>
      </c>
      <c r="M22" s="217">
        <f t="shared" si="5"/>
        <v>383795</v>
      </c>
      <c r="N22" s="216">
        <f t="shared" si="5"/>
        <v>197569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42900</v>
      </c>
      <c r="U22" s="17">
        <f t="shared" si="3"/>
        <v>0</v>
      </c>
      <c r="V22" s="17">
        <f t="shared" si="7"/>
        <v>581364</v>
      </c>
    </row>
    <row r="23" spans="1:24" ht="14.4" x14ac:dyDescent="0.3">
      <c r="A23" s="3">
        <f t="shared" si="8"/>
        <v>15</v>
      </c>
      <c r="B23" s="113">
        <f t="shared" si="4"/>
        <v>45513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95">
        <v>24599</v>
      </c>
      <c r="L23" s="95">
        <v>14274</v>
      </c>
      <c r="M23" s="217">
        <f t="shared" si="5"/>
        <v>408394</v>
      </c>
      <c r="N23" s="216">
        <f t="shared" si="5"/>
        <v>211843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38873</v>
      </c>
      <c r="U23" s="17">
        <f t="shared" si="3"/>
        <v>0</v>
      </c>
      <c r="V23" s="17">
        <f t="shared" si="7"/>
        <v>620237</v>
      </c>
    </row>
    <row r="24" spans="1:24" ht="14.4" x14ac:dyDescent="0.3">
      <c r="A24" s="3">
        <f t="shared" si="8"/>
        <v>16</v>
      </c>
      <c r="B24" s="113">
        <f t="shared" si="4"/>
        <v>45520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95">
        <v>34260</v>
      </c>
      <c r="L24" s="95">
        <v>18988</v>
      </c>
      <c r="M24" s="217">
        <f t="shared" si="5"/>
        <v>442654</v>
      </c>
      <c r="N24" s="216">
        <f t="shared" si="5"/>
        <v>230831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53248</v>
      </c>
      <c r="U24" s="17">
        <f t="shared" si="3"/>
        <v>0</v>
      </c>
      <c r="V24" s="17">
        <f t="shared" si="7"/>
        <v>673485</v>
      </c>
    </row>
    <row r="25" spans="1:24" ht="14.4" x14ac:dyDescent="0.3">
      <c r="A25" s="3">
        <f t="shared" si="8"/>
        <v>17</v>
      </c>
      <c r="B25" s="113">
        <f t="shared" si="4"/>
        <v>45527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95">
        <v>31463</v>
      </c>
      <c r="L25" s="95">
        <v>13385</v>
      </c>
      <c r="M25" s="217">
        <f t="shared" si="5"/>
        <v>474117</v>
      </c>
      <c r="N25" s="216">
        <f t="shared" si="5"/>
        <v>244216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44848</v>
      </c>
      <c r="U25" s="17">
        <f t="shared" si="3"/>
        <v>0</v>
      </c>
      <c r="V25" s="17">
        <f t="shared" si="7"/>
        <v>718333</v>
      </c>
    </row>
    <row r="26" spans="1:24" ht="14.4" x14ac:dyDescent="0.3">
      <c r="A26" s="3">
        <f t="shared" si="8"/>
        <v>18</v>
      </c>
      <c r="B26" s="113">
        <f t="shared" si="4"/>
        <v>45534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95">
        <v>35867</v>
      </c>
      <c r="L26" s="95">
        <v>17209</v>
      </c>
      <c r="M26" s="217">
        <f t="shared" ref="M26:N41" si="12">M25+K26</f>
        <v>509984</v>
      </c>
      <c r="N26" s="216">
        <f t="shared" si="12"/>
        <v>261425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53076</v>
      </c>
      <c r="U26" s="17">
        <f t="shared" si="3"/>
        <v>0</v>
      </c>
      <c r="V26" s="17">
        <f t="shared" si="7"/>
        <v>771409</v>
      </c>
    </row>
    <row r="27" spans="1:24" ht="14.4" x14ac:dyDescent="0.3">
      <c r="A27" s="3">
        <f t="shared" si="8"/>
        <v>19</v>
      </c>
      <c r="B27" s="113">
        <f t="shared" si="4"/>
        <v>45541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95">
        <v>24751</v>
      </c>
      <c r="L27" s="95">
        <v>14481</v>
      </c>
      <c r="M27" s="217">
        <f t="shared" si="12"/>
        <v>534735</v>
      </c>
      <c r="N27" s="216">
        <f t="shared" si="12"/>
        <v>275906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39232</v>
      </c>
      <c r="U27" s="17">
        <f t="shared" si="3"/>
        <v>0</v>
      </c>
      <c r="V27" s="17">
        <f t="shared" si="7"/>
        <v>810641</v>
      </c>
    </row>
    <row r="28" spans="1:24" ht="14.4" x14ac:dyDescent="0.3">
      <c r="A28" s="3">
        <f t="shared" si="8"/>
        <v>20</v>
      </c>
      <c r="B28" s="113">
        <f t="shared" si="4"/>
        <v>45548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95">
        <v>27547</v>
      </c>
      <c r="L28" s="95">
        <v>14824</v>
      </c>
      <c r="M28" s="217">
        <f t="shared" si="12"/>
        <v>562282</v>
      </c>
      <c r="N28" s="216">
        <f t="shared" si="12"/>
        <v>290730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42371</v>
      </c>
      <c r="U28" s="17">
        <f t="shared" si="3"/>
        <v>0</v>
      </c>
      <c r="V28" s="17">
        <f t="shared" si="7"/>
        <v>853012</v>
      </c>
    </row>
    <row r="29" spans="1:24" ht="14.4" x14ac:dyDescent="0.3">
      <c r="A29" s="3">
        <f t="shared" si="8"/>
        <v>21</v>
      </c>
      <c r="B29" s="113">
        <f t="shared" si="4"/>
        <v>45555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95">
        <v>27976</v>
      </c>
      <c r="L29" s="95">
        <v>14329</v>
      </c>
      <c r="M29" s="217">
        <f t="shared" si="12"/>
        <v>590258</v>
      </c>
      <c r="N29" s="216">
        <f t="shared" si="12"/>
        <v>305059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42305</v>
      </c>
      <c r="U29" s="17">
        <f t="shared" si="3"/>
        <v>0</v>
      </c>
      <c r="V29" s="17">
        <f t="shared" si="7"/>
        <v>895317</v>
      </c>
    </row>
    <row r="30" spans="1:24" ht="14.4" x14ac:dyDescent="0.3">
      <c r="A30" s="3">
        <f t="shared" si="8"/>
        <v>22</v>
      </c>
      <c r="B30" s="113">
        <f t="shared" si="4"/>
        <v>45562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95">
        <v>24388</v>
      </c>
      <c r="L30" s="95">
        <v>17114</v>
      </c>
      <c r="M30" s="217">
        <f t="shared" si="12"/>
        <v>614646</v>
      </c>
      <c r="N30" s="216">
        <f t="shared" si="12"/>
        <v>322173</v>
      </c>
      <c r="O30" s="183"/>
      <c r="P30" s="148"/>
      <c r="Q30" s="17"/>
      <c r="R30" s="17"/>
      <c r="S30" s="49">
        <f t="shared" si="13"/>
        <v>0</v>
      </c>
      <c r="T30" s="17">
        <f t="shared" si="6"/>
        <v>41502</v>
      </c>
      <c r="U30" s="45">
        <f t="shared" si="3"/>
        <v>0</v>
      </c>
      <c r="V30" s="17">
        <f t="shared" si="7"/>
        <v>936819</v>
      </c>
    </row>
    <row r="31" spans="1:24" ht="14.4" x14ac:dyDescent="0.3">
      <c r="A31" s="3">
        <f t="shared" si="8"/>
        <v>23</v>
      </c>
      <c r="B31" s="113">
        <f t="shared" si="4"/>
        <v>45569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95">
        <v>29638</v>
      </c>
      <c r="L31" s="95">
        <v>13980</v>
      </c>
      <c r="M31" s="217">
        <f t="shared" si="12"/>
        <v>644284</v>
      </c>
      <c r="N31" s="216">
        <f t="shared" si="12"/>
        <v>336153</v>
      </c>
      <c r="O31" s="182"/>
      <c r="P31" s="147"/>
      <c r="Q31" s="17"/>
      <c r="R31" s="17"/>
      <c r="S31" s="18">
        <f t="shared" si="13"/>
        <v>0</v>
      </c>
      <c r="T31" s="17">
        <f t="shared" si="6"/>
        <v>43618</v>
      </c>
      <c r="U31" s="17">
        <f t="shared" si="3"/>
        <v>0</v>
      </c>
      <c r="V31" s="45">
        <f t="shared" si="7"/>
        <v>980437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45576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95">
        <v>41228</v>
      </c>
      <c r="L32" s="95">
        <v>17379</v>
      </c>
      <c r="M32" s="217">
        <f t="shared" si="12"/>
        <v>685512</v>
      </c>
      <c r="N32" s="216">
        <f t="shared" si="12"/>
        <v>353532</v>
      </c>
      <c r="O32" s="182"/>
      <c r="P32" s="147"/>
      <c r="Q32" s="17"/>
      <c r="R32" s="17"/>
      <c r="S32" s="18">
        <f t="shared" si="13"/>
        <v>0</v>
      </c>
      <c r="T32" s="17">
        <f t="shared" si="6"/>
        <v>58607</v>
      </c>
      <c r="U32" s="17">
        <f t="shared" si="3"/>
        <v>0</v>
      </c>
      <c r="V32" s="45">
        <f t="shared" si="7"/>
        <v>1039044</v>
      </c>
    </row>
    <row r="33" spans="1:22" ht="14.4" x14ac:dyDescent="0.3">
      <c r="A33" s="3">
        <f t="shared" si="8"/>
        <v>25</v>
      </c>
      <c r="B33" s="113">
        <f t="shared" si="4"/>
        <v>45583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95">
        <v>31458</v>
      </c>
      <c r="L33" s="95">
        <v>16419</v>
      </c>
      <c r="M33" s="217">
        <f t="shared" si="12"/>
        <v>716970</v>
      </c>
      <c r="N33" s="216">
        <f t="shared" si="12"/>
        <v>369951</v>
      </c>
      <c r="O33" s="182"/>
      <c r="P33" s="147"/>
      <c r="Q33" s="17"/>
      <c r="R33" s="17"/>
      <c r="S33" s="18">
        <f t="shared" si="13"/>
        <v>0</v>
      </c>
      <c r="T33" s="17">
        <f t="shared" si="6"/>
        <v>47877</v>
      </c>
      <c r="U33" s="17">
        <f t="shared" si="3"/>
        <v>0</v>
      </c>
      <c r="V33" s="45">
        <f t="shared" si="7"/>
        <v>1086921</v>
      </c>
    </row>
    <row r="34" spans="1:22" ht="14.4" x14ac:dyDescent="0.3">
      <c r="A34" s="3">
        <f t="shared" si="8"/>
        <v>26</v>
      </c>
      <c r="B34" s="113">
        <f t="shared" si="4"/>
        <v>45590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95">
        <v>32387</v>
      </c>
      <c r="L34" s="95">
        <v>19991</v>
      </c>
      <c r="M34" s="217">
        <f t="shared" si="12"/>
        <v>749357</v>
      </c>
      <c r="N34" s="216">
        <f t="shared" si="12"/>
        <v>389942</v>
      </c>
      <c r="O34" s="182"/>
      <c r="P34" s="147"/>
      <c r="Q34" s="17"/>
      <c r="R34" s="17"/>
      <c r="S34" s="18">
        <f t="shared" si="13"/>
        <v>0</v>
      </c>
      <c r="T34" s="17">
        <f t="shared" si="6"/>
        <v>52378</v>
      </c>
      <c r="U34" s="17">
        <f t="shared" si="3"/>
        <v>0</v>
      </c>
      <c r="V34" s="45">
        <f t="shared" si="7"/>
        <v>1139299</v>
      </c>
    </row>
    <row r="35" spans="1:22" ht="14.4" x14ac:dyDescent="0.3">
      <c r="A35" s="3">
        <f t="shared" si="8"/>
        <v>27</v>
      </c>
      <c r="B35" s="113">
        <f t="shared" si="4"/>
        <v>45597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95">
        <v>22129</v>
      </c>
      <c r="L35" s="95">
        <v>13398</v>
      </c>
      <c r="M35" s="217">
        <f t="shared" si="12"/>
        <v>771486</v>
      </c>
      <c r="N35" s="216">
        <f t="shared" si="12"/>
        <v>403340</v>
      </c>
      <c r="O35" s="182"/>
      <c r="P35" s="147"/>
      <c r="Q35" s="17"/>
      <c r="R35" s="17"/>
      <c r="S35" s="18">
        <f t="shared" si="13"/>
        <v>0</v>
      </c>
      <c r="T35" s="17">
        <f t="shared" si="6"/>
        <v>35527</v>
      </c>
      <c r="U35" s="17">
        <f t="shared" si="3"/>
        <v>0</v>
      </c>
      <c r="V35" s="45">
        <f t="shared" si="7"/>
        <v>1174826</v>
      </c>
    </row>
    <row r="36" spans="1:22" ht="14.4" x14ac:dyDescent="0.3">
      <c r="A36" s="3">
        <f t="shared" si="8"/>
        <v>28</v>
      </c>
      <c r="B36" s="113">
        <f t="shared" si="4"/>
        <v>45604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95">
        <v>26215</v>
      </c>
      <c r="L36" s="95">
        <v>15034</v>
      </c>
      <c r="M36" s="217">
        <f t="shared" si="12"/>
        <v>797701</v>
      </c>
      <c r="N36" s="216">
        <f t="shared" si="12"/>
        <v>418374</v>
      </c>
      <c r="O36" s="182"/>
      <c r="P36" s="147"/>
      <c r="Q36" s="17"/>
      <c r="R36" s="17"/>
      <c r="S36" s="18">
        <f t="shared" si="13"/>
        <v>0</v>
      </c>
      <c r="T36" s="17">
        <f t="shared" si="6"/>
        <v>41249</v>
      </c>
      <c r="U36" s="17">
        <f t="shared" si="3"/>
        <v>0</v>
      </c>
      <c r="V36" s="45">
        <f t="shared" si="7"/>
        <v>1216075</v>
      </c>
    </row>
    <row r="37" spans="1:22" ht="14.4" x14ac:dyDescent="0.3">
      <c r="A37" s="3">
        <f t="shared" si="8"/>
        <v>29</v>
      </c>
      <c r="B37" s="113">
        <f t="shared" si="4"/>
        <v>45611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95">
        <v>27110</v>
      </c>
      <c r="L37" s="95">
        <v>16277</v>
      </c>
      <c r="M37" s="217">
        <f t="shared" si="12"/>
        <v>824811</v>
      </c>
      <c r="N37" s="216">
        <f t="shared" si="12"/>
        <v>434651</v>
      </c>
      <c r="O37" s="182"/>
      <c r="P37" s="147"/>
      <c r="Q37" s="17"/>
      <c r="R37" s="17"/>
      <c r="S37" s="18">
        <f t="shared" si="13"/>
        <v>0</v>
      </c>
      <c r="T37" s="17">
        <f t="shared" si="6"/>
        <v>43387</v>
      </c>
      <c r="U37" s="17">
        <f t="shared" si="3"/>
        <v>0</v>
      </c>
      <c r="V37" s="45">
        <f t="shared" si="7"/>
        <v>1259462</v>
      </c>
    </row>
    <row r="38" spans="1:22" ht="14.4" x14ac:dyDescent="0.3">
      <c r="A38" s="3">
        <f t="shared" si="8"/>
        <v>30</v>
      </c>
      <c r="B38" s="113">
        <f t="shared" si="4"/>
        <v>45618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95">
        <v>31528</v>
      </c>
      <c r="L38" s="95">
        <v>23658</v>
      </c>
      <c r="M38" s="217">
        <f t="shared" si="12"/>
        <v>856339</v>
      </c>
      <c r="N38" s="216">
        <f t="shared" si="12"/>
        <v>458309</v>
      </c>
      <c r="O38" s="182"/>
      <c r="P38" s="147"/>
      <c r="Q38" s="17"/>
      <c r="R38" s="17"/>
      <c r="S38" s="18">
        <f t="shared" si="13"/>
        <v>0</v>
      </c>
      <c r="T38" s="17">
        <f t="shared" si="6"/>
        <v>55186</v>
      </c>
      <c r="U38" s="17">
        <f t="shared" si="3"/>
        <v>0</v>
      </c>
      <c r="V38" s="45">
        <f t="shared" si="7"/>
        <v>1314648</v>
      </c>
    </row>
    <row r="39" spans="1:22" ht="14.4" x14ac:dyDescent="0.3">
      <c r="A39" s="3">
        <f t="shared" si="8"/>
        <v>31</v>
      </c>
      <c r="B39" s="113">
        <f t="shared" si="4"/>
        <v>45625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95">
        <v>39367</v>
      </c>
      <c r="L39" s="95">
        <v>27949</v>
      </c>
      <c r="M39" s="217">
        <f t="shared" si="12"/>
        <v>895706</v>
      </c>
      <c r="N39" s="216">
        <f t="shared" si="12"/>
        <v>486258</v>
      </c>
      <c r="O39" s="182"/>
      <c r="P39" s="147"/>
      <c r="Q39" s="17"/>
      <c r="R39" s="17"/>
      <c r="S39" s="18">
        <f t="shared" si="13"/>
        <v>0</v>
      </c>
      <c r="T39" s="17">
        <f t="shared" si="6"/>
        <v>67316</v>
      </c>
      <c r="U39" s="17">
        <f t="shared" si="3"/>
        <v>0</v>
      </c>
      <c r="V39" s="45">
        <f t="shared" si="7"/>
        <v>1381964</v>
      </c>
    </row>
    <row r="40" spans="1:22" ht="14.4" x14ac:dyDescent="0.3">
      <c r="A40" s="3">
        <f t="shared" si="8"/>
        <v>32</v>
      </c>
      <c r="B40" s="113">
        <f t="shared" si="4"/>
        <v>45632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95">
        <v>33168</v>
      </c>
      <c r="L40" s="95">
        <v>22992</v>
      </c>
      <c r="M40" s="217">
        <f t="shared" si="12"/>
        <v>928874</v>
      </c>
      <c r="N40" s="216">
        <f t="shared" si="12"/>
        <v>509250</v>
      </c>
      <c r="O40" s="182"/>
      <c r="P40" s="147"/>
      <c r="Q40" s="17"/>
      <c r="R40" s="17"/>
      <c r="S40" s="18">
        <f t="shared" si="13"/>
        <v>0</v>
      </c>
      <c r="T40" s="17">
        <f t="shared" si="6"/>
        <v>56160</v>
      </c>
      <c r="U40" s="17">
        <f t="shared" si="3"/>
        <v>0</v>
      </c>
      <c r="V40" s="45">
        <f t="shared" si="7"/>
        <v>1438124</v>
      </c>
    </row>
    <row r="41" spans="1:22" ht="14.4" x14ac:dyDescent="0.3">
      <c r="A41" s="3">
        <f t="shared" si="8"/>
        <v>33</v>
      </c>
      <c r="B41" s="113">
        <f t="shared" si="4"/>
        <v>45639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95">
        <v>34064</v>
      </c>
      <c r="L41" s="95">
        <v>18398</v>
      </c>
      <c r="M41" s="217">
        <f t="shared" si="12"/>
        <v>962938</v>
      </c>
      <c r="N41" s="216">
        <f t="shared" si="12"/>
        <v>527648</v>
      </c>
      <c r="O41" s="182"/>
      <c r="P41" s="147"/>
      <c r="Q41" s="17"/>
      <c r="R41" s="17"/>
      <c r="S41" s="18">
        <f t="shared" si="13"/>
        <v>0</v>
      </c>
      <c r="T41" s="17">
        <f t="shared" si="6"/>
        <v>52462</v>
      </c>
      <c r="U41" s="17">
        <f t="shared" si="3"/>
        <v>0</v>
      </c>
      <c r="V41" s="45">
        <f t="shared" si="7"/>
        <v>1490586</v>
      </c>
    </row>
    <row r="42" spans="1:22" ht="14.4" x14ac:dyDescent="0.3">
      <c r="A42" s="3">
        <f t="shared" si="8"/>
        <v>34</v>
      </c>
      <c r="B42" s="113">
        <f t="shared" si="4"/>
        <v>45646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95">
        <v>33618</v>
      </c>
      <c r="L42" s="95">
        <v>15169</v>
      </c>
      <c r="M42" s="217">
        <f t="shared" ref="M42:N57" si="16">M41+K42</f>
        <v>996556</v>
      </c>
      <c r="N42" s="216">
        <f t="shared" si="16"/>
        <v>542817</v>
      </c>
      <c r="O42" s="182"/>
      <c r="P42" s="147"/>
      <c r="Q42" s="17"/>
      <c r="R42" s="17"/>
      <c r="S42" s="18">
        <f t="shared" si="13"/>
        <v>0</v>
      </c>
      <c r="T42" s="17">
        <f t="shared" si="6"/>
        <v>48787</v>
      </c>
      <c r="U42" s="17">
        <f t="shared" si="3"/>
        <v>0</v>
      </c>
      <c r="V42" s="45">
        <f t="shared" si="7"/>
        <v>1539373</v>
      </c>
    </row>
    <row r="43" spans="1:22" ht="14.4" x14ac:dyDescent="0.3">
      <c r="A43" s="3">
        <f t="shared" si="8"/>
        <v>35</v>
      </c>
      <c r="B43" s="113">
        <f t="shared" si="4"/>
        <v>45653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95">
        <v>19740</v>
      </c>
      <c r="L43" s="95">
        <v>14272</v>
      </c>
      <c r="M43" s="217">
        <f t="shared" si="16"/>
        <v>1016296</v>
      </c>
      <c r="N43" s="216">
        <f t="shared" si="16"/>
        <v>557089</v>
      </c>
      <c r="O43" s="182"/>
      <c r="P43" s="147"/>
      <c r="Q43" s="17"/>
      <c r="R43" s="17"/>
      <c r="S43" s="18">
        <f t="shared" si="13"/>
        <v>0</v>
      </c>
      <c r="T43" s="17">
        <f t="shared" si="6"/>
        <v>34012</v>
      </c>
      <c r="U43" s="17">
        <f t="shared" si="3"/>
        <v>0</v>
      </c>
      <c r="V43" s="45">
        <f t="shared" si="7"/>
        <v>1573385</v>
      </c>
    </row>
    <row r="44" spans="1:22" ht="14.4" x14ac:dyDescent="0.3">
      <c r="A44" s="3">
        <f t="shared" si="8"/>
        <v>36</v>
      </c>
      <c r="B44" s="113">
        <f t="shared" si="4"/>
        <v>45660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95">
        <v>20115</v>
      </c>
      <c r="L44" s="95">
        <v>12471</v>
      </c>
      <c r="M44" s="217">
        <f t="shared" si="16"/>
        <v>1036411</v>
      </c>
      <c r="N44" s="216">
        <f t="shared" si="16"/>
        <v>569560</v>
      </c>
      <c r="O44" s="182"/>
      <c r="P44" s="147"/>
      <c r="Q44" s="17"/>
      <c r="R44" s="17"/>
      <c r="S44" s="18">
        <f t="shared" si="13"/>
        <v>0</v>
      </c>
      <c r="T44" s="17">
        <f t="shared" si="6"/>
        <v>32586</v>
      </c>
      <c r="U44" s="17">
        <f t="shared" si="3"/>
        <v>0</v>
      </c>
      <c r="V44" s="45">
        <f t="shared" si="7"/>
        <v>1605971</v>
      </c>
    </row>
    <row r="45" spans="1:22" ht="14.4" x14ac:dyDescent="0.3">
      <c r="A45" s="3">
        <f t="shared" si="8"/>
        <v>37</v>
      </c>
      <c r="B45" s="113">
        <f t="shared" si="4"/>
        <v>45667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95">
        <v>29267</v>
      </c>
      <c r="L45" s="95">
        <v>21877</v>
      </c>
      <c r="M45" s="217">
        <f t="shared" si="16"/>
        <v>1065678</v>
      </c>
      <c r="N45" s="216">
        <f t="shared" si="16"/>
        <v>591437</v>
      </c>
      <c r="O45" s="182"/>
      <c r="P45" s="147"/>
      <c r="Q45" s="17"/>
      <c r="R45" s="17"/>
      <c r="S45" s="18">
        <f t="shared" si="13"/>
        <v>0</v>
      </c>
      <c r="T45" s="17">
        <f t="shared" si="6"/>
        <v>51144</v>
      </c>
      <c r="U45" s="17">
        <f t="shared" si="3"/>
        <v>0</v>
      </c>
      <c r="V45" s="45">
        <f t="shared" si="7"/>
        <v>1657115</v>
      </c>
    </row>
    <row r="46" spans="1:22" ht="14.4" x14ac:dyDescent="0.3">
      <c r="A46" s="3">
        <f t="shared" si="8"/>
        <v>38</v>
      </c>
      <c r="B46" s="113">
        <f t="shared" si="4"/>
        <v>45674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95">
        <v>41334</v>
      </c>
      <c r="L46" s="95">
        <v>15954</v>
      </c>
      <c r="M46" s="217">
        <f t="shared" si="16"/>
        <v>1107012</v>
      </c>
      <c r="N46" s="216">
        <f t="shared" si="16"/>
        <v>607391</v>
      </c>
      <c r="O46" s="182"/>
      <c r="P46" s="147"/>
      <c r="Q46" s="17"/>
      <c r="R46" s="17"/>
      <c r="S46" s="18">
        <f t="shared" si="13"/>
        <v>0</v>
      </c>
      <c r="T46" s="17">
        <f t="shared" si="6"/>
        <v>57288</v>
      </c>
      <c r="U46" s="17">
        <f t="shared" si="3"/>
        <v>0</v>
      </c>
      <c r="V46" s="45">
        <f t="shared" si="7"/>
        <v>1714403</v>
      </c>
    </row>
    <row r="47" spans="1:22" ht="14.4" x14ac:dyDescent="0.3">
      <c r="A47" s="3">
        <f t="shared" si="8"/>
        <v>39</v>
      </c>
      <c r="B47" s="113">
        <f t="shared" si="4"/>
        <v>45681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95">
        <v>29330</v>
      </c>
      <c r="L47" s="95">
        <v>14045</v>
      </c>
      <c r="M47" s="217">
        <f t="shared" si="16"/>
        <v>1136342</v>
      </c>
      <c r="N47" s="216">
        <f t="shared" si="16"/>
        <v>621436</v>
      </c>
      <c r="O47" s="182"/>
      <c r="P47" s="147"/>
      <c r="Q47" s="17"/>
      <c r="R47" s="17"/>
      <c r="S47" s="18">
        <f t="shared" si="13"/>
        <v>0</v>
      </c>
      <c r="T47" s="17">
        <f t="shared" si="6"/>
        <v>43375</v>
      </c>
      <c r="U47" s="17">
        <f t="shared" si="3"/>
        <v>0</v>
      </c>
      <c r="V47" s="45">
        <f t="shared" si="7"/>
        <v>1757778</v>
      </c>
    </row>
    <row r="48" spans="1:22" ht="14.4" x14ac:dyDescent="0.3">
      <c r="A48" s="3">
        <f t="shared" si="8"/>
        <v>40</v>
      </c>
      <c r="B48" s="113">
        <f t="shared" si="4"/>
        <v>45688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95">
        <v>33197</v>
      </c>
      <c r="L48" s="95">
        <v>17475</v>
      </c>
      <c r="M48" s="217">
        <f t="shared" si="16"/>
        <v>1169539</v>
      </c>
      <c r="N48" s="216">
        <f t="shared" si="16"/>
        <v>638911</v>
      </c>
      <c r="O48" s="182"/>
      <c r="P48" s="147"/>
      <c r="Q48" s="17"/>
      <c r="R48" s="17"/>
      <c r="S48" s="18">
        <f t="shared" si="13"/>
        <v>0</v>
      </c>
      <c r="T48" s="17">
        <f t="shared" si="6"/>
        <v>50672</v>
      </c>
      <c r="U48" s="17">
        <f t="shared" si="3"/>
        <v>0</v>
      </c>
      <c r="V48" s="45">
        <f t="shared" si="7"/>
        <v>1808450</v>
      </c>
    </row>
    <row r="49" spans="1:22" ht="14.4" x14ac:dyDescent="0.3">
      <c r="A49" s="3">
        <f t="shared" si="8"/>
        <v>41</v>
      </c>
      <c r="B49" s="113">
        <f t="shared" si="4"/>
        <v>45695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95">
        <v>35719</v>
      </c>
      <c r="L49" s="95">
        <v>12865</v>
      </c>
      <c r="M49" s="217">
        <f t="shared" si="16"/>
        <v>1205258</v>
      </c>
      <c r="N49" s="216">
        <f t="shared" si="16"/>
        <v>651776</v>
      </c>
      <c r="O49" s="182"/>
      <c r="P49" s="147"/>
      <c r="Q49" s="17"/>
      <c r="R49" s="17"/>
      <c r="S49" s="18">
        <f t="shared" si="13"/>
        <v>0</v>
      </c>
      <c r="T49" s="17">
        <f t="shared" si="6"/>
        <v>48584</v>
      </c>
      <c r="U49" s="17">
        <f t="shared" si="3"/>
        <v>0</v>
      </c>
      <c r="V49" s="45">
        <f t="shared" si="7"/>
        <v>1857034</v>
      </c>
    </row>
    <row r="50" spans="1:22" ht="14.4" x14ac:dyDescent="0.3">
      <c r="A50" s="3">
        <f t="shared" si="8"/>
        <v>42</v>
      </c>
      <c r="B50" s="113">
        <f t="shared" si="4"/>
        <v>45702</v>
      </c>
      <c r="C50" s="114">
        <v>0</v>
      </c>
      <c r="D50" s="114">
        <v>0</v>
      </c>
      <c r="E50" s="61">
        <f t="shared" ref="E50:F59" si="17">+C50</f>
        <v>0</v>
      </c>
      <c r="F50" s="61">
        <f t="shared" si="17"/>
        <v>0</v>
      </c>
      <c r="G50" s="152">
        <v>0</v>
      </c>
      <c r="H50" s="153">
        <v>0</v>
      </c>
      <c r="I50" s="61">
        <f t="shared" ref="I50:J59" si="18">+G50</f>
        <v>0</v>
      </c>
      <c r="J50" s="61">
        <f t="shared" si="18"/>
        <v>0</v>
      </c>
      <c r="K50" s="95">
        <v>30941</v>
      </c>
      <c r="L50" s="95">
        <v>11471</v>
      </c>
      <c r="M50" s="217">
        <f t="shared" si="16"/>
        <v>1236199</v>
      </c>
      <c r="N50" s="216">
        <f t="shared" si="16"/>
        <v>663247</v>
      </c>
      <c r="O50" s="182"/>
      <c r="P50" s="147"/>
      <c r="Q50" s="17"/>
      <c r="R50" s="17"/>
      <c r="S50" s="18">
        <f t="shared" si="13"/>
        <v>0</v>
      </c>
      <c r="T50" s="17">
        <f t="shared" si="6"/>
        <v>42412</v>
      </c>
      <c r="U50" s="17">
        <f t="shared" si="3"/>
        <v>0</v>
      </c>
      <c r="V50" s="45">
        <f t="shared" si="7"/>
        <v>1899446</v>
      </c>
    </row>
    <row r="51" spans="1:22" ht="14.4" x14ac:dyDescent="0.3">
      <c r="A51" s="3">
        <f t="shared" si="8"/>
        <v>43</v>
      </c>
      <c r="B51" s="113">
        <f t="shared" si="4"/>
        <v>45709</v>
      </c>
      <c r="C51" s="114">
        <v>0</v>
      </c>
      <c r="D51" s="114">
        <v>0</v>
      </c>
      <c r="E51" s="61">
        <f t="shared" si="17"/>
        <v>0</v>
      </c>
      <c r="F51" s="61">
        <f t="shared" si="17"/>
        <v>0</v>
      </c>
      <c r="G51" s="152">
        <v>0</v>
      </c>
      <c r="H51" s="153">
        <v>0</v>
      </c>
      <c r="I51" s="61">
        <f t="shared" si="18"/>
        <v>0</v>
      </c>
      <c r="J51" s="61">
        <f t="shared" si="18"/>
        <v>0</v>
      </c>
      <c r="K51" s="95">
        <v>31810</v>
      </c>
      <c r="L51" s="95">
        <v>11258</v>
      </c>
      <c r="M51" s="217">
        <f t="shared" si="16"/>
        <v>1268009</v>
      </c>
      <c r="N51" s="216">
        <f t="shared" si="16"/>
        <v>674505</v>
      </c>
      <c r="O51" s="182"/>
      <c r="P51" s="147"/>
      <c r="Q51" s="17"/>
      <c r="R51" s="17"/>
      <c r="S51" s="18">
        <f t="shared" si="13"/>
        <v>0</v>
      </c>
      <c r="T51" s="17">
        <f t="shared" si="6"/>
        <v>43068</v>
      </c>
      <c r="U51" s="17">
        <f t="shared" si="3"/>
        <v>0</v>
      </c>
      <c r="V51" s="45">
        <f t="shared" si="7"/>
        <v>1942514</v>
      </c>
    </row>
    <row r="52" spans="1:22" ht="14.4" x14ac:dyDescent="0.3">
      <c r="A52" s="3">
        <f t="shared" si="8"/>
        <v>44</v>
      </c>
      <c r="B52" s="113">
        <f t="shared" si="4"/>
        <v>45716</v>
      </c>
      <c r="C52" s="114">
        <v>0</v>
      </c>
      <c r="D52" s="114">
        <v>0</v>
      </c>
      <c r="E52" s="61">
        <f t="shared" si="17"/>
        <v>0</v>
      </c>
      <c r="F52" s="61">
        <f t="shared" si="17"/>
        <v>0</v>
      </c>
      <c r="G52" s="152">
        <v>0</v>
      </c>
      <c r="H52" s="153">
        <v>0</v>
      </c>
      <c r="I52" s="61">
        <f t="shared" si="18"/>
        <v>0</v>
      </c>
      <c r="J52" s="61">
        <f t="shared" si="18"/>
        <v>0</v>
      </c>
      <c r="K52" s="95">
        <v>26822</v>
      </c>
      <c r="L52" s="95">
        <v>13207</v>
      </c>
      <c r="M52" s="217">
        <f t="shared" si="16"/>
        <v>1294831</v>
      </c>
      <c r="N52" s="216">
        <f t="shared" si="16"/>
        <v>687712</v>
      </c>
      <c r="O52" s="182"/>
      <c r="P52" s="147"/>
      <c r="Q52" s="17"/>
      <c r="R52" s="17"/>
      <c r="S52" s="18">
        <f t="shared" si="13"/>
        <v>0</v>
      </c>
      <c r="T52" s="17">
        <f t="shared" si="6"/>
        <v>40029</v>
      </c>
      <c r="U52" s="17">
        <f t="shared" si="3"/>
        <v>0</v>
      </c>
      <c r="V52" s="45">
        <f t="shared" si="7"/>
        <v>1982543</v>
      </c>
    </row>
    <row r="53" spans="1:22" ht="14.4" x14ac:dyDescent="0.3">
      <c r="A53" s="3">
        <f t="shared" si="8"/>
        <v>45</v>
      </c>
      <c r="B53" s="113">
        <f t="shared" si="4"/>
        <v>45723</v>
      </c>
      <c r="C53" s="114">
        <v>0</v>
      </c>
      <c r="D53" s="114">
        <v>0</v>
      </c>
      <c r="E53" s="61">
        <f t="shared" si="17"/>
        <v>0</v>
      </c>
      <c r="F53" s="61">
        <f t="shared" si="17"/>
        <v>0</v>
      </c>
      <c r="G53" s="152">
        <v>0</v>
      </c>
      <c r="H53" s="153">
        <v>0</v>
      </c>
      <c r="I53" s="61">
        <f t="shared" si="18"/>
        <v>0</v>
      </c>
      <c r="J53" s="61">
        <f t="shared" si="18"/>
        <v>0</v>
      </c>
      <c r="K53" s="95"/>
      <c r="L53" s="95"/>
      <c r="M53" s="217">
        <f t="shared" si="16"/>
        <v>1294831</v>
      </c>
      <c r="N53" s="216">
        <f t="shared" si="16"/>
        <v>687712</v>
      </c>
      <c r="O53" s="182"/>
      <c r="P53" s="147"/>
      <c r="Q53" s="17"/>
      <c r="R53" s="17"/>
      <c r="S53" s="18">
        <f t="shared" si="13"/>
        <v>0</v>
      </c>
      <c r="T53" s="17">
        <f t="shared" si="6"/>
        <v>0</v>
      </c>
      <c r="U53" s="17">
        <f t="shared" si="3"/>
        <v>0</v>
      </c>
      <c r="V53" s="45">
        <f t="shared" si="7"/>
        <v>1982543</v>
      </c>
    </row>
    <row r="54" spans="1:22" ht="14.4" x14ac:dyDescent="0.3">
      <c r="A54" s="3">
        <f t="shared" si="8"/>
        <v>46</v>
      </c>
      <c r="B54" s="113">
        <f t="shared" si="4"/>
        <v>45730</v>
      </c>
      <c r="C54" s="114">
        <v>0</v>
      </c>
      <c r="D54" s="114">
        <v>0</v>
      </c>
      <c r="E54" s="61">
        <f t="shared" si="17"/>
        <v>0</v>
      </c>
      <c r="F54" s="61">
        <f t="shared" si="17"/>
        <v>0</v>
      </c>
      <c r="G54" s="152">
        <v>0</v>
      </c>
      <c r="H54" s="153">
        <v>0</v>
      </c>
      <c r="I54" s="61">
        <f t="shared" si="18"/>
        <v>0</v>
      </c>
      <c r="J54" s="61">
        <f t="shared" si="18"/>
        <v>0</v>
      </c>
      <c r="K54" s="95"/>
      <c r="L54" s="95"/>
      <c r="M54" s="217">
        <f t="shared" si="16"/>
        <v>1294831</v>
      </c>
      <c r="N54" s="216">
        <f t="shared" si="16"/>
        <v>687712</v>
      </c>
      <c r="O54" s="182"/>
      <c r="P54" s="147"/>
      <c r="Q54" s="17"/>
      <c r="R54" s="17"/>
      <c r="S54" s="18">
        <f t="shared" si="13"/>
        <v>0</v>
      </c>
      <c r="T54" s="17">
        <f t="shared" si="6"/>
        <v>0</v>
      </c>
      <c r="U54" s="17">
        <f t="shared" si="3"/>
        <v>0</v>
      </c>
      <c r="V54" s="45">
        <f t="shared" si="7"/>
        <v>1982543</v>
      </c>
    </row>
    <row r="55" spans="1:22" ht="14.4" x14ac:dyDescent="0.3">
      <c r="A55" s="3">
        <f t="shared" si="8"/>
        <v>47</v>
      </c>
      <c r="B55" s="113">
        <f t="shared" si="4"/>
        <v>45737</v>
      </c>
      <c r="C55" s="114">
        <v>0</v>
      </c>
      <c r="D55" s="114">
        <v>0</v>
      </c>
      <c r="E55" s="61">
        <f t="shared" si="17"/>
        <v>0</v>
      </c>
      <c r="F55" s="61">
        <f t="shared" si="17"/>
        <v>0</v>
      </c>
      <c r="G55" s="152">
        <v>0</v>
      </c>
      <c r="H55" s="153">
        <v>0</v>
      </c>
      <c r="I55" s="61">
        <f t="shared" si="18"/>
        <v>0</v>
      </c>
      <c r="J55" s="61">
        <f t="shared" si="18"/>
        <v>0</v>
      </c>
      <c r="K55" s="95"/>
      <c r="L55" s="95"/>
      <c r="M55" s="217">
        <f t="shared" si="16"/>
        <v>1294831</v>
      </c>
      <c r="N55" s="216">
        <f t="shared" si="16"/>
        <v>687712</v>
      </c>
      <c r="O55" s="182"/>
      <c r="P55" s="147"/>
      <c r="Q55" s="17"/>
      <c r="R55" s="17"/>
      <c r="S55" s="18">
        <f t="shared" si="13"/>
        <v>0</v>
      </c>
      <c r="T55" s="17">
        <f t="shared" si="6"/>
        <v>0</v>
      </c>
      <c r="U55" s="17">
        <f t="shared" si="3"/>
        <v>0</v>
      </c>
      <c r="V55" s="45">
        <f t="shared" si="7"/>
        <v>1982543</v>
      </c>
    </row>
    <row r="56" spans="1:22" ht="14.4" x14ac:dyDescent="0.3">
      <c r="A56" s="3">
        <f t="shared" si="8"/>
        <v>48</v>
      </c>
      <c r="B56" s="113">
        <f t="shared" si="4"/>
        <v>45744</v>
      </c>
      <c r="C56" s="114">
        <v>0</v>
      </c>
      <c r="D56" s="114">
        <v>0</v>
      </c>
      <c r="E56" s="61">
        <f t="shared" si="17"/>
        <v>0</v>
      </c>
      <c r="F56" s="61">
        <f t="shared" si="17"/>
        <v>0</v>
      </c>
      <c r="G56" s="152">
        <v>0</v>
      </c>
      <c r="H56" s="153">
        <v>0</v>
      </c>
      <c r="I56" s="61">
        <f t="shared" si="18"/>
        <v>0</v>
      </c>
      <c r="J56" s="61">
        <f t="shared" si="18"/>
        <v>0</v>
      </c>
      <c r="K56" s="95"/>
      <c r="L56" s="95"/>
      <c r="M56" s="217">
        <f t="shared" si="16"/>
        <v>1294831</v>
      </c>
      <c r="N56" s="216">
        <f t="shared" si="16"/>
        <v>687712</v>
      </c>
      <c r="O56" s="182"/>
      <c r="P56" s="147"/>
      <c r="Q56" s="17"/>
      <c r="R56" s="17"/>
      <c r="S56" s="18">
        <f t="shared" si="13"/>
        <v>0</v>
      </c>
      <c r="T56" s="17">
        <f t="shared" si="6"/>
        <v>0</v>
      </c>
      <c r="U56" s="17">
        <f t="shared" si="3"/>
        <v>0</v>
      </c>
      <c r="V56" s="45">
        <f t="shared" si="7"/>
        <v>1982543</v>
      </c>
    </row>
    <row r="57" spans="1:22" ht="14.4" x14ac:dyDescent="0.3">
      <c r="A57" s="3">
        <f t="shared" si="8"/>
        <v>49</v>
      </c>
      <c r="B57" s="113">
        <f t="shared" si="4"/>
        <v>45751</v>
      </c>
      <c r="C57" s="114">
        <v>0</v>
      </c>
      <c r="D57" s="114">
        <v>0</v>
      </c>
      <c r="E57" s="61">
        <f t="shared" si="17"/>
        <v>0</v>
      </c>
      <c r="F57" s="61">
        <f t="shared" si="17"/>
        <v>0</v>
      </c>
      <c r="G57" s="152">
        <v>0</v>
      </c>
      <c r="H57" s="153">
        <v>0</v>
      </c>
      <c r="I57" s="61">
        <f t="shared" si="18"/>
        <v>0</v>
      </c>
      <c r="J57" s="61">
        <f t="shared" si="18"/>
        <v>0</v>
      </c>
      <c r="K57" s="95"/>
      <c r="L57" s="95"/>
      <c r="M57" s="217">
        <f t="shared" si="16"/>
        <v>1294831</v>
      </c>
      <c r="N57" s="216">
        <f t="shared" si="16"/>
        <v>687712</v>
      </c>
      <c r="O57" s="182"/>
      <c r="P57" s="147"/>
      <c r="Q57" s="17"/>
      <c r="R57" s="17"/>
      <c r="S57" s="18">
        <f t="shared" si="13"/>
        <v>0</v>
      </c>
      <c r="T57" s="17">
        <f>K57+L57</f>
        <v>0</v>
      </c>
      <c r="U57" s="17">
        <f t="shared" si="3"/>
        <v>0</v>
      </c>
      <c r="V57" s="45">
        <f t="shared" si="7"/>
        <v>1982543</v>
      </c>
    </row>
    <row r="58" spans="1:22" ht="14.4" x14ac:dyDescent="0.3">
      <c r="A58" s="3">
        <f t="shared" si="8"/>
        <v>50</v>
      </c>
      <c r="B58" s="113">
        <f t="shared" si="4"/>
        <v>45758</v>
      </c>
      <c r="C58" s="114">
        <v>0</v>
      </c>
      <c r="D58" s="114">
        <v>0</v>
      </c>
      <c r="E58" s="61">
        <f t="shared" si="17"/>
        <v>0</v>
      </c>
      <c r="F58" s="61">
        <f t="shared" si="17"/>
        <v>0</v>
      </c>
      <c r="G58" s="152">
        <v>0</v>
      </c>
      <c r="H58" s="153">
        <v>0</v>
      </c>
      <c r="I58" s="61">
        <f t="shared" si="18"/>
        <v>0</v>
      </c>
      <c r="J58" s="61">
        <f t="shared" si="18"/>
        <v>0</v>
      </c>
      <c r="K58" s="95"/>
      <c r="L58" s="95"/>
      <c r="M58" s="217">
        <f t="shared" ref="M58:N60" si="19">M57+K58</f>
        <v>1294831</v>
      </c>
      <c r="N58" s="216">
        <f t="shared" si="19"/>
        <v>687712</v>
      </c>
      <c r="O58" s="182"/>
      <c r="P58" s="147"/>
      <c r="Q58" s="17"/>
      <c r="R58" s="17"/>
      <c r="S58" s="18">
        <f t="shared" si="13"/>
        <v>0</v>
      </c>
      <c r="T58" s="17">
        <f t="shared" si="6"/>
        <v>0</v>
      </c>
      <c r="U58" s="17">
        <f t="shared" si="3"/>
        <v>0</v>
      </c>
      <c r="V58" s="45">
        <f t="shared" si="7"/>
        <v>1982543</v>
      </c>
    </row>
    <row r="59" spans="1:22" ht="14.4" x14ac:dyDescent="0.3">
      <c r="A59" s="3">
        <f t="shared" si="8"/>
        <v>51</v>
      </c>
      <c r="B59" s="113">
        <f t="shared" si="4"/>
        <v>45765</v>
      </c>
      <c r="C59" s="114">
        <v>0</v>
      </c>
      <c r="D59" s="114">
        <v>0</v>
      </c>
      <c r="E59" s="61">
        <f t="shared" si="17"/>
        <v>0</v>
      </c>
      <c r="F59" s="61">
        <f t="shared" si="17"/>
        <v>0</v>
      </c>
      <c r="G59" s="152">
        <v>0</v>
      </c>
      <c r="H59" s="153">
        <v>0</v>
      </c>
      <c r="I59" s="61">
        <f t="shared" si="18"/>
        <v>0</v>
      </c>
      <c r="J59" s="61">
        <f t="shared" si="18"/>
        <v>0</v>
      </c>
      <c r="K59" s="208"/>
      <c r="L59" s="209"/>
      <c r="M59" s="217">
        <f t="shared" si="19"/>
        <v>1294831</v>
      </c>
      <c r="N59" s="216">
        <f t="shared" si="19"/>
        <v>687712</v>
      </c>
      <c r="O59" s="182"/>
      <c r="P59" s="147"/>
      <c r="Q59" s="17"/>
      <c r="R59" s="17"/>
      <c r="S59" s="18">
        <f t="shared" si="13"/>
        <v>0</v>
      </c>
      <c r="T59" s="17">
        <f t="shared" si="6"/>
        <v>0</v>
      </c>
      <c r="U59" s="17">
        <f t="shared" si="3"/>
        <v>0</v>
      </c>
      <c r="V59" s="45">
        <f t="shared" si="7"/>
        <v>1982543</v>
      </c>
    </row>
    <row r="60" spans="1:22" ht="14.4" x14ac:dyDescent="0.3">
      <c r="A60" s="3">
        <f t="shared" si="8"/>
        <v>52</v>
      </c>
      <c r="B60" s="113">
        <f t="shared" si="4"/>
        <v>45772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208"/>
      <c r="L60" s="95"/>
      <c r="M60" s="217">
        <f t="shared" si="19"/>
        <v>1294831</v>
      </c>
      <c r="N60" s="216">
        <f t="shared" si="19"/>
        <v>687712</v>
      </c>
      <c r="O60" s="182"/>
      <c r="P60" s="147"/>
      <c r="Q60" s="17"/>
      <c r="R60" s="17"/>
      <c r="S60" s="18">
        <f t="shared" si="13"/>
        <v>0</v>
      </c>
      <c r="T60" s="17">
        <f t="shared" si="6"/>
        <v>0</v>
      </c>
      <c r="U60" s="17">
        <f t="shared" si="3"/>
        <v>0</v>
      </c>
      <c r="V60" s="45">
        <f t="shared" si="7"/>
        <v>1982543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210"/>
      <c r="L61" s="210"/>
      <c r="M61" s="218">
        <f>M60+K61</f>
        <v>1294831</v>
      </c>
      <c r="N61" s="219">
        <f>N60+L61</f>
        <v>687712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1982543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216"/>
      <c r="N62" s="216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211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workbookViewId="0">
      <selection activeCell="G2" sqref="G2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8" width="1.109375" customWidth="1"/>
    <col min="9" max="14" width="10.6640625" bestFit="1" customWidth="1"/>
    <col min="15" max="15" width="29.33203125" bestFit="1" customWidth="1"/>
    <col min="16" max="16" width="0.5546875" customWidth="1"/>
    <col min="17" max="21" width="9.5546875" bestFit="1" customWidth="1"/>
    <col min="22" max="22" width="10.33203125" bestFit="1" customWidth="1"/>
    <col min="23" max="23" width="29.33203125" bestFit="1" customWidth="1"/>
    <col min="24" max="24" width="7.33203125" bestFit="1" customWidth="1"/>
  </cols>
  <sheetData>
    <row r="1" spans="1:23" x14ac:dyDescent="0.25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5">
      <c r="A2">
        <v>1</v>
      </c>
      <c r="B2" s="165">
        <v>80395</v>
      </c>
      <c r="C2" s="165">
        <v>12348</v>
      </c>
      <c r="D2" s="165">
        <v>13373</v>
      </c>
      <c r="E2" s="165">
        <v>25280</v>
      </c>
      <c r="F2" s="165">
        <v>1991</v>
      </c>
      <c r="G2" s="165" t="e">
        <f>#REF!</f>
        <v>#REF!</v>
      </c>
      <c r="I2" s="165">
        <f t="shared" ref="I2:N2" si="0">B2</f>
        <v>80395</v>
      </c>
      <c r="J2" s="165">
        <f t="shared" si="0"/>
        <v>12348</v>
      </c>
      <c r="K2" s="165">
        <f t="shared" si="0"/>
        <v>13373</v>
      </c>
      <c r="L2" s="165">
        <f t="shared" si="0"/>
        <v>25280</v>
      </c>
      <c r="M2" s="165">
        <f t="shared" si="0"/>
        <v>1991</v>
      </c>
      <c r="N2" s="165" t="e">
        <f t="shared" si="0"/>
        <v>#REF!</v>
      </c>
      <c r="O2" s="166">
        <f>AVERAGE(I2:M2)</f>
        <v>26677.4</v>
      </c>
      <c r="Q2" s="167">
        <f t="shared" ref="Q2:Q18" si="1">I2/I$55</f>
        <v>3.2871226729076816E-2</v>
      </c>
      <c r="R2" s="167">
        <f t="shared" ref="R2:W17" si="2">J2/J$55</f>
        <v>6.0062367969071868E-3</v>
      </c>
      <c r="S2" s="167">
        <f t="shared" si="2"/>
        <v>5.8427129271934964E-3</v>
      </c>
      <c r="T2" s="167">
        <f t="shared" si="2"/>
        <v>1.2209811704225039E-2</v>
      </c>
      <c r="U2" s="167">
        <f t="shared" si="2"/>
        <v>7.8349859867478161E-4</v>
      </c>
      <c r="V2" s="167" t="e">
        <f t="shared" si="2"/>
        <v>#REF!</v>
      </c>
      <c r="W2" s="167">
        <f t="shared" si="2"/>
        <v>1.1698474445682523E-2</v>
      </c>
    </row>
    <row r="3" spans="1:23" x14ac:dyDescent="0.25">
      <c r="A3">
        <v>2</v>
      </c>
      <c r="B3" s="165">
        <v>59425</v>
      </c>
      <c r="C3" s="165">
        <v>19225</v>
      </c>
      <c r="D3" s="165">
        <v>11647</v>
      </c>
      <c r="E3" s="165">
        <v>15239</v>
      </c>
      <c r="F3" s="165">
        <v>22957</v>
      </c>
      <c r="G3" s="165" t="e">
        <f>#REF!</f>
        <v>#REF!</v>
      </c>
      <c r="I3" s="165">
        <f>I2+B3</f>
        <v>139820</v>
      </c>
      <c r="J3" s="165">
        <f t="shared" ref="J3:N18" si="3">J2+C3</f>
        <v>31573</v>
      </c>
      <c r="K3" s="165">
        <f t="shared" si="3"/>
        <v>25020</v>
      </c>
      <c r="L3" s="165">
        <f t="shared" si="3"/>
        <v>40519</v>
      </c>
      <c r="M3" s="165">
        <f>M2+F3</f>
        <v>24948</v>
      </c>
      <c r="N3" s="165" t="e">
        <f>N2+G3</f>
        <v>#REF!</v>
      </c>
      <c r="O3" s="166">
        <f t="shared" ref="O3:O10" si="4">AVERAGE(I3:M3)</f>
        <v>52376</v>
      </c>
      <c r="Q3" s="167">
        <f t="shared" si="1"/>
        <v>5.7168417454562109E-2</v>
      </c>
      <c r="R3" s="167">
        <f t="shared" si="2"/>
        <v>1.5357540847809411E-2</v>
      </c>
      <c r="S3" s="167">
        <f t="shared" si="2"/>
        <v>1.0931330100828631E-2</v>
      </c>
      <c r="T3" s="167">
        <f t="shared" si="2"/>
        <v>1.9569990523872403E-2</v>
      </c>
      <c r="U3" s="167">
        <f t="shared" si="2"/>
        <v>9.8175404519027874E-3</v>
      </c>
      <c r="V3" s="167" t="e">
        <f t="shared" si="2"/>
        <v>#REF!</v>
      </c>
      <c r="W3" s="167">
        <f t="shared" si="2"/>
        <v>2.2967729147783059E-2</v>
      </c>
    </row>
    <row r="4" spans="1:23" x14ac:dyDescent="0.25">
      <c r="A4">
        <v>3</v>
      </c>
      <c r="B4" s="165">
        <v>91522</v>
      </c>
      <c r="C4" s="165">
        <v>59935</v>
      </c>
      <c r="D4" s="165">
        <v>9954</v>
      </c>
      <c r="E4" s="165">
        <v>65020</v>
      </c>
      <c r="F4" s="165">
        <v>26383</v>
      </c>
      <c r="G4" s="165" t="e">
        <f>#REF!</f>
        <v>#REF!</v>
      </c>
      <c r="I4" s="165">
        <f t="shared" ref="I4:I10" si="5">I3+B4</f>
        <v>231342</v>
      </c>
      <c r="J4" s="165">
        <f t="shared" si="3"/>
        <v>91508</v>
      </c>
      <c r="K4" s="165">
        <f t="shared" si="3"/>
        <v>34974</v>
      </c>
      <c r="L4" s="165">
        <f t="shared" si="3"/>
        <v>105539</v>
      </c>
      <c r="M4" s="165">
        <f t="shared" si="3"/>
        <v>51331</v>
      </c>
      <c r="N4" s="165" t="e">
        <f t="shared" si="3"/>
        <v>#REF!</v>
      </c>
      <c r="O4" s="166">
        <f t="shared" si="4"/>
        <v>102938.8</v>
      </c>
      <c r="Q4" s="167">
        <f t="shared" si="1"/>
        <v>9.4589157708291419E-2</v>
      </c>
      <c r="R4" s="167">
        <f t="shared" si="2"/>
        <v>4.4510748041090287E-2</v>
      </c>
      <c r="S4" s="167">
        <f t="shared" si="2"/>
        <v>1.5280269342381317E-2</v>
      </c>
      <c r="T4" s="167">
        <f t="shared" si="2"/>
        <v>5.0973548949849935E-2</v>
      </c>
      <c r="U4" s="167">
        <f t="shared" si="2"/>
        <v>2.0199782304658569E-2</v>
      </c>
      <c r="V4" s="167" t="e">
        <f t="shared" si="2"/>
        <v>#REF!</v>
      </c>
      <c r="W4" s="167">
        <f t="shared" si="2"/>
        <v>4.5140340560520291E-2</v>
      </c>
    </row>
    <row r="5" spans="1:23" ht="13.95" customHeight="1" x14ac:dyDescent="0.25">
      <c r="A5">
        <v>4</v>
      </c>
      <c r="B5" s="165">
        <v>35394</v>
      </c>
      <c r="C5" s="165">
        <v>47615</v>
      </c>
      <c r="D5" s="165">
        <v>13895</v>
      </c>
      <c r="E5" s="165">
        <v>82788</v>
      </c>
      <c r="F5" s="165">
        <v>30474</v>
      </c>
      <c r="G5" s="165" t="e">
        <f>#REF!</f>
        <v>#REF!</v>
      </c>
      <c r="I5" s="165">
        <f t="shared" si="5"/>
        <v>266736</v>
      </c>
      <c r="J5" s="165">
        <f t="shared" si="3"/>
        <v>139123</v>
      </c>
      <c r="K5" s="165">
        <f t="shared" si="3"/>
        <v>48869</v>
      </c>
      <c r="L5" s="165">
        <f t="shared" si="3"/>
        <v>188327</v>
      </c>
      <c r="M5" s="165">
        <f t="shared" si="3"/>
        <v>81805</v>
      </c>
      <c r="N5" s="165" t="e">
        <f t="shared" si="3"/>
        <v>#REF!</v>
      </c>
      <c r="O5" s="166">
        <f t="shared" si="4"/>
        <v>144972</v>
      </c>
      <c r="Q5" s="167">
        <f t="shared" si="1"/>
        <v>0.10906075667401</v>
      </c>
      <c r="R5" s="167">
        <f t="shared" si="2"/>
        <v>6.7671338022037467E-2</v>
      </c>
      <c r="S5" s="167">
        <f t="shared" si="2"/>
        <v>2.1351045991102893E-2</v>
      </c>
      <c r="T5" s="167">
        <f t="shared" si="2"/>
        <v>9.0958750348955258E-2</v>
      </c>
      <c r="U5" s="167">
        <f t="shared" si="2"/>
        <v>3.2191915050020344E-2</v>
      </c>
      <c r="V5" s="167" t="e">
        <f t="shared" si="2"/>
        <v>#REF!</v>
      </c>
      <c r="W5" s="167">
        <f t="shared" si="2"/>
        <v>6.3572583435397997E-2</v>
      </c>
    </row>
    <row r="6" spans="1:23" x14ac:dyDescent="0.25">
      <c r="A6">
        <v>5</v>
      </c>
      <c r="B6" s="165">
        <v>40154</v>
      </c>
      <c r="C6" s="165">
        <v>94731</v>
      </c>
      <c r="D6" s="165">
        <v>30810</v>
      </c>
      <c r="E6" s="165">
        <v>101589</v>
      </c>
      <c r="F6" s="165">
        <v>79198</v>
      </c>
      <c r="G6" s="165" t="e">
        <f>#REF!</f>
        <v>#REF!</v>
      </c>
      <c r="I6" s="165">
        <f t="shared" si="5"/>
        <v>306890</v>
      </c>
      <c r="J6" s="165">
        <f t="shared" si="3"/>
        <v>233854</v>
      </c>
      <c r="K6" s="165">
        <f t="shared" si="3"/>
        <v>79679</v>
      </c>
      <c r="L6" s="165">
        <f t="shared" si="3"/>
        <v>289916</v>
      </c>
      <c r="M6" s="165">
        <f t="shared" si="3"/>
        <v>161003</v>
      </c>
      <c r="N6" s="165" t="e">
        <f t="shared" si="3"/>
        <v>#REF!</v>
      </c>
      <c r="O6" s="166">
        <f t="shared" si="4"/>
        <v>214268.4</v>
      </c>
      <c r="Q6" s="167">
        <f t="shared" si="1"/>
        <v>0.12547858412695298</v>
      </c>
      <c r="R6" s="167">
        <f t="shared" si="2"/>
        <v>0.1137497975302829</v>
      </c>
      <c r="S6" s="167">
        <f t="shared" si="2"/>
        <v>3.4812048405432637E-2</v>
      </c>
      <c r="T6" s="167">
        <f t="shared" si="2"/>
        <v>0.14002451622002005</v>
      </c>
      <c r="U6" s="167">
        <f t="shared" si="2"/>
        <v>6.3357923095146082E-2</v>
      </c>
      <c r="V6" s="167" t="e">
        <f t="shared" si="2"/>
        <v>#REF!</v>
      </c>
      <c r="W6" s="167">
        <f t="shared" si="2"/>
        <v>9.3960183597999833E-2</v>
      </c>
    </row>
    <row r="7" spans="1:23" x14ac:dyDescent="0.25">
      <c r="A7">
        <v>6</v>
      </c>
      <c r="B7" s="165">
        <v>37596</v>
      </c>
      <c r="C7" s="165">
        <v>67834</v>
      </c>
      <c r="D7" s="165">
        <v>73548</v>
      </c>
      <c r="E7" s="165">
        <v>28080</v>
      </c>
      <c r="F7" s="165">
        <v>61090</v>
      </c>
      <c r="G7" s="165" t="e">
        <f>#REF!</f>
        <v>#REF!</v>
      </c>
      <c r="I7" s="165">
        <f t="shared" si="5"/>
        <v>344486</v>
      </c>
      <c r="J7" s="165">
        <f t="shared" si="3"/>
        <v>301688</v>
      </c>
      <c r="K7" s="165">
        <f t="shared" si="3"/>
        <v>153227</v>
      </c>
      <c r="L7" s="165">
        <f t="shared" si="3"/>
        <v>317996</v>
      </c>
      <c r="M7" s="165">
        <f t="shared" si="3"/>
        <v>222093</v>
      </c>
      <c r="N7" s="165" t="e">
        <f t="shared" si="3"/>
        <v>#REF!</v>
      </c>
      <c r="O7" s="166">
        <f t="shared" si="4"/>
        <v>267898</v>
      </c>
      <c r="Q7" s="167">
        <f t="shared" si="1"/>
        <v>0.14085051820377831</v>
      </c>
      <c r="R7" s="167">
        <f t="shared" si="2"/>
        <v>0.14674518681449103</v>
      </c>
      <c r="S7" s="167">
        <f t="shared" si="2"/>
        <v>6.6945440342113055E-2</v>
      </c>
      <c r="T7" s="167">
        <f t="shared" si="2"/>
        <v>0.15358668048642191</v>
      </c>
      <c r="U7" s="167">
        <f t="shared" si="2"/>
        <v>8.7398068445744978E-2</v>
      </c>
      <c r="V7" s="167" t="e">
        <f t="shared" si="2"/>
        <v>#REF!</v>
      </c>
      <c r="W7" s="167">
        <f t="shared" si="2"/>
        <v>0.11747763676555648</v>
      </c>
    </row>
    <row r="8" spans="1:23" x14ac:dyDescent="0.25">
      <c r="A8">
        <v>7</v>
      </c>
      <c r="B8" s="165">
        <v>41963</v>
      </c>
      <c r="C8" s="165">
        <v>43331</v>
      </c>
      <c r="D8" s="165">
        <v>63938</v>
      </c>
      <c r="E8" s="165">
        <v>86196</v>
      </c>
      <c r="F8" s="165">
        <v>95227</v>
      </c>
      <c r="G8" s="165" t="e">
        <f>#REF!</f>
        <v>#REF!</v>
      </c>
      <c r="I8" s="165">
        <f t="shared" si="5"/>
        <v>386449</v>
      </c>
      <c r="J8" s="165">
        <f t="shared" si="3"/>
        <v>345019</v>
      </c>
      <c r="K8" s="165">
        <f t="shared" si="3"/>
        <v>217165</v>
      </c>
      <c r="L8" s="165">
        <f t="shared" si="3"/>
        <v>404192</v>
      </c>
      <c r="M8" s="165">
        <f t="shared" si="3"/>
        <v>317320</v>
      </c>
      <c r="N8" s="165" t="e">
        <f t="shared" si="3"/>
        <v>#REF!</v>
      </c>
      <c r="O8" s="166">
        <f t="shared" si="4"/>
        <v>334029</v>
      </c>
      <c r="Q8" s="167">
        <f t="shared" si="1"/>
        <v>0.15800799425617273</v>
      </c>
      <c r="R8" s="167">
        <f t="shared" si="2"/>
        <v>0.1678219803556949</v>
      </c>
      <c r="S8" s="167">
        <f t="shared" si="2"/>
        <v>9.4880187903535168E-2</v>
      </c>
      <c r="T8" s="167">
        <f t="shared" si="2"/>
        <v>0.19521788814691959</v>
      </c>
      <c r="U8" s="167">
        <f t="shared" si="2"/>
        <v>0.12487181081440567</v>
      </c>
      <c r="V8" s="167" t="e">
        <f t="shared" si="2"/>
        <v>#REF!</v>
      </c>
      <c r="W8" s="167">
        <f t="shared" si="2"/>
        <v>0.14647715746725271</v>
      </c>
    </row>
    <row r="9" spans="1:23" x14ac:dyDescent="0.25">
      <c r="A9">
        <v>8</v>
      </c>
      <c r="B9" s="165">
        <v>99446</v>
      </c>
      <c r="C9" s="165">
        <v>58395</v>
      </c>
      <c r="D9" s="165">
        <v>87337</v>
      </c>
      <c r="E9" s="165">
        <v>75157</v>
      </c>
      <c r="F9" s="165">
        <v>72315</v>
      </c>
      <c r="G9" s="165" t="e">
        <f>#REF!</f>
        <v>#REF!</v>
      </c>
      <c r="I9" s="165">
        <f t="shared" si="5"/>
        <v>485895</v>
      </c>
      <c r="J9" s="165">
        <f t="shared" si="3"/>
        <v>403414</v>
      </c>
      <c r="K9" s="165">
        <f t="shared" si="3"/>
        <v>304502</v>
      </c>
      <c r="L9" s="165">
        <f t="shared" si="3"/>
        <v>479349</v>
      </c>
      <c r="M9" s="165">
        <f t="shared" si="3"/>
        <v>389635</v>
      </c>
      <c r="N9" s="165" t="e">
        <f>N8+G9</f>
        <v>#REF!</v>
      </c>
      <c r="O9" s="166">
        <f t="shared" si="4"/>
        <v>412559</v>
      </c>
      <c r="Q9" s="167">
        <f t="shared" si="1"/>
        <v>0.19866863252098738</v>
      </c>
      <c r="R9" s="167">
        <f t="shared" si="2"/>
        <v>0.19622611039743407</v>
      </c>
      <c r="S9" s="167">
        <f t="shared" si="2"/>
        <v>0.13303804469874181</v>
      </c>
      <c r="T9" s="167">
        <f t="shared" si="2"/>
        <v>0.23151744583103515</v>
      </c>
      <c r="U9" s="167">
        <f t="shared" si="2"/>
        <v>0.15332921973613686</v>
      </c>
      <c r="V9" s="167" t="e">
        <f t="shared" si="2"/>
        <v>#REF!</v>
      </c>
      <c r="W9" s="167">
        <f t="shared" si="2"/>
        <v>0.18091384163510446</v>
      </c>
    </row>
    <row r="10" spans="1:23" x14ac:dyDescent="0.25">
      <c r="A10">
        <v>9</v>
      </c>
      <c r="B10" s="165">
        <v>14206</v>
      </c>
      <c r="C10" s="165">
        <v>119520</v>
      </c>
      <c r="D10" s="165">
        <v>121915</v>
      </c>
      <c r="E10" s="165">
        <v>67688</v>
      </c>
      <c r="F10" s="165">
        <v>129626</v>
      </c>
      <c r="G10" s="165" t="e">
        <f>#REF!</f>
        <v>#REF!</v>
      </c>
      <c r="I10" s="165">
        <f t="shared" si="5"/>
        <v>500101</v>
      </c>
      <c r="J10" s="165">
        <f t="shared" si="3"/>
        <v>522934</v>
      </c>
      <c r="K10" s="165">
        <f t="shared" si="3"/>
        <v>426417</v>
      </c>
      <c r="L10" s="165">
        <f t="shared" si="3"/>
        <v>547037</v>
      </c>
      <c r="M10" s="165">
        <f t="shared" si="3"/>
        <v>519261</v>
      </c>
      <c r="N10" s="165" t="e">
        <f t="shared" si="3"/>
        <v>#REF!</v>
      </c>
      <c r="O10" s="166">
        <f t="shared" si="4"/>
        <v>503150</v>
      </c>
      <c r="Q10" s="167">
        <f t="shared" si="1"/>
        <v>0.20447706148937178</v>
      </c>
      <c r="R10" s="167">
        <f t="shared" si="2"/>
        <v>0.25436227997682725</v>
      </c>
      <c r="S10" s="167">
        <f t="shared" si="2"/>
        <v>0.18630315697861879</v>
      </c>
      <c r="T10" s="167">
        <f t="shared" si="2"/>
        <v>0.26420960305554403</v>
      </c>
      <c r="U10" s="167">
        <f t="shared" si="2"/>
        <v>0.20433966139953078</v>
      </c>
      <c r="V10" s="167" t="e">
        <f t="shared" si="2"/>
        <v>#REF!</v>
      </c>
      <c r="W10" s="167">
        <f t="shared" si="2"/>
        <v>0.22063947076346124</v>
      </c>
    </row>
    <row r="11" spans="1:23" x14ac:dyDescent="0.25">
      <c r="A11">
        <v>10</v>
      </c>
      <c r="B11" s="165">
        <v>35168</v>
      </c>
      <c r="C11" s="165">
        <v>94543</v>
      </c>
      <c r="D11" s="165">
        <v>32190</v>
      </c>
      <c r="E11" s="165">
        <v>122370</v>
      </c>
      <c r="F11" s="165">
        <v>130113</v>
      </c>
      <c r="G11" s="165" t="e">
        <f>#REF!</f>
        <v>#REF!</v>
      </c>
      <c r="I11" s="165">
        <f>I10+B11</f>
        <v>535269</v>
      </c>
      <c r="J11" s="165">
        <f t="shared" si="3"/>
        <v>617477</v>
      </c>
      <c r="K11" s="165">
        <f t="shared" si="3"/>
        <v>458607</v>
      </c>
      <c r="L11" s="165">
        <f t="shared" si="3"/>
        <v>669407</v>
      </c>
      <c r="M11" s="165">
        <f t="shared" si="3"/>
        <v>649374</v>
      </c>
      <c r="N11" s="165" t="e">
        <f t="shared" si="3"/>
        <v>#REF!</v>
      </c>
      <c r="O11" s="166">
        <f>AVERAGE(I11:M11)</f>
        <v>586026.80000000005</v>
      </c>
      <c r="Q11" s="167">
        <f t="shared" si="1"/>
        <v>0.21885625548910032</v>
      </c>
      <c r="R11" s="167">
        <f t="shared" si="2"/>
        <v>0.30034929370293645</v>
      </c>
      <c r="S11" s="167">
        <f t="shared" si="2"/>
        <v>0.20036708647285037</v>
      </c>
      <c r="T11" s="167">
        <f t="shared" si="2"/>
        <v>0.32331223985325042</v>
      </c>
      <c r="U11" s="167">
        <f t="shared" si="2"/>
        <v>0.2555417473710887</v>
      </c>
      <c r="V11" s="167" t="e">
        <f t="shared" si="2"/>
        <v>#REF!</v>
      </c>
      <c r="W11" s="167">
        <f>O11/O$55</f>
        <v>0.25698229753593316</v>
      </c>
    </row>
    <row r="12" spans="1:23" x14ac:dyDescent="0.25">
      <c r="A12">
        <v>11</v>
      </c>
      <c r="B12" s="165">
        <v>110055</v>
      </c>
      <c r="C12" s="165">
        <v>92137</v>
      </c>
      <c r="D12" s="165">
        <v>82559</v>
      </c>
      <c r="E12" s="165">
        <v>95033</v>
      </c>
      <c r="F12" s="165">
        <v>99709</v>
      </c>
      <c r="G12" s="165" t="e">
        <f>#REF!</f>
        <v>#REF!</v>
      </c>
      <c r="I12" s="165">
        <f>I11+B12</f>
        <v>645324</v>
      </c>
      <c r="J12" s="165">
        <f t="shared" si="3"/>
        <v>709614</v>
      </c>
      <c r="K12" s="165">
        <f t="shared" si="3"/>
        <v>541166</v>
      </c>
      <c r="L12" s="165">
        <f t="shared" si="3"/>
        <v>764440</v>
      </c>
      <c r="M12" s="165">
        <f t="shared" si="3"/>
        <v>749083</v>
      </c>
      <c r="N12" s="165" t="e">
        <f t="shared" si="3"/>
        <v>#REF!</v>
      </c>
      <c r="O12" s="166">
        <f>AVERAGE(I12:M12)</f>
        <v>681925.4</v>
      </c>
      <c r="Q12" s="167">
        <f t="shared" si="1"/>
        <v>0.26385461182554598</v>
      </c>
      <c r="R12" s="167">
        <f t="shared" si="2"/>
        <v>0.34516599598319536</v>
      </c>
      <c r="S12" s="167">
        <f t="shared" si="2"/>
        <v>0.23643741747981722</v>
      </c>
      <c r="T12" s="167">
        <f t="shared" si="2"/>
        <v>0.36921156879658973</v>
      </c>
      <c r="U12" s="167">
        <f t="shared" si="2"/>
        <v>0.29477924700708258</v>
      </c>
      <c r="V12" s="167" t="e">
        <f t="shared" si="2"/>
        <v>#REF!</v>
      </c>
      <c r="W12" s="167">
        <f t="shared" si="2"/>
        <v>0.29903539571929172</v>
      </c>
    </row>
    <row r="13" spans="1:23" x14ac:dyDescent="0.25">
      <c r="A13">
        <v>12</v>
      </c>
      <c r="B13" s="165">
        <v>59186</v>
      </c>
      <c r="C13" s="165">
        <v>21424</v>
      </c>
      <c r="D13" s="165">
        <v>152398</v>
      </c>
      <c r="E13" s="165">
        <v>74115</v>
      </c>
      <c r="F13" s="165">
        <v>116756</v>
      </c>
      <c r="G13" s="165" t="e">
        <f>#REF!</f>
        <v>#REF!</v>
      </c>
      <c r="I13" s="165">
        <f>I12+B13</f>
        <v>704510</v>
      </c>
      <c r="J13" s="165">
        <f t="shared" si="3"/>
        <v>731038</v>
      </c>
      <c r="K13" s="165">
        <f t="shared" si="3"/>
        <v>693564</v>
      </c>
      <c r="L13" s="165">
        <f t="shared" si="3"/>
        <v>838555</v>
      </c>
      <c r="M13" s="165">
        <f t="shared" si="3"/>
        <v>865839</v>
      </c>
      <c r="N13" s="165" t="e">
        <f t="shared" si="3"/>
        <v>#REF!</v>
      </c>
      <c r="O13" s="166">
        <f>AVERAGE(I13:M13)</f>
        <v>766701.2</v>
      </c>
      <c r="Q13" s="167">
        <f t="shared" si="1"/>
        <v>0.28805408225513912</v>
      </c>
      <c r="R13" s="167">
        <f t="shared" si="2"/>
        <v>0.35558692383685098</v>
      </c>
      <c r="S13" s="167">
        <f t="shared" si="2"/>
        <v>0.30302066467030814</v>
      </c>
      <c r="T13" s="167">
        <f t="shared" si="2"/>
        <v>0.40500785813435236</v>
      </c>
      <c r="U13" s="167">
        <f t="shared" si="2"/>
        <v>0.34072508446909805</v>
      </c>
      <c r="V13" s="167" t="e">
        <f t="shared" si="2"/>
        <v>#REF!</v>
      </c>
      <c r="W13" s="167">
        <f t="shared" si="2"/>
        <v>0.33621096492439756</v>
      </c>
    </row>
    <row r="14" spans="1:23" x14ac:dyDescent="0.25">
      <c r="A14">
        <v>13</v>
      </c>
      <c r="B14" s="165">
        <v>89518</v>
      </c>
      <c r="C14" s="165">
        <v>141714</v>
      </c>
      <c r="D14" s="165">
        <v>114071</v>
      </c>
      <c r="E14" s="165">
        <v>131989</v>
      </c>
      <c r="F14" s="165">
        <v>121188</v>
      </c>
      <c r="G14" s="165" t="e">
        <f>#REF!</f>
        <v>#REF!</v>
      </c>
      <c r="I14" s="165">
        <f>I13+B14</f>
        <v>794028</v>
      </c>
      <c r="J14" s="165">
        <f t="shared" si="3"/>
        <v>872752</v>
      </c>
      <c r="K14" s="165">
        <f t="shared" si="3"/>
        <v>807635</v>
      </c>
      <c r="L14" s="165">
        <f t="shared" si="3"/>
        <v>970544</v>
      </c>
      <c r="M14" s="165">
        <f t="shared" si="3"/>
        <v>987027</v>
      </c>
      <c r="N14" s="165" t="e">
        <f>N13+G14</f>
        <v>#REF!</v>
      </c>
      <c r="O14" s="166">
        <f>AVERAGE(I14:M14)</f>
        <v>886397.2</v>
      </c>
      <c r="Q14" s="167">
        <f t="shared" si="1"/>
        <v>0.32465544396088569</v>
      </c>
      <c r="R14" s="167">
        <f t="shared" si="2"/>
        <v>0.42451855984567066</v>
      </c>
      <c r="S14" s="167">
        <f t="shared" si="2"/>
        <v>0.3528587044757287</v>
      </c>
      <c r="T14" s="167">
        <f t="shared" si="2"/>
        <v>0.46875630896619408</v>
      </c>
      <c r="U14" s="167">
        <f t="shared" si="2"/>
        <v>0.38841500319144834</v>
      </c>
      <c r="V14" s="167" t="e">
        <f t="shared" si="2"/>
        <v>#REF!</v>
      </c>
      <c r="W14" s="167">
        <f t="shared" si="2"/>
        <v>0.38869961064138708</v>
      </c>
    </row>
    <row r="15" spans="1:23" x14ac:dyDescent="0.25">
      <c r="A15">
        <v>14</v>
      </c>
      <c r="B15" s="165">
        <v>77359</v>
      </c>
      <c r="C15" s="165">
        <v>38305</v>
      </c>
      <c r="D15" s="165">
        <v>63722</v>
      </c>
      <c r="E15" s="165">
        <v>64647</v>
      </c>
      <c r="F15" s="165">
        <v>71158</v>
      </c>
      <c r="G15" s="165" t="e">
        <f>#REF!</f>
        <v>#REF!</v>
      </c>
      <c r="I15" s="165">
        <f t="shared" ref="I15:N26" si="6">I14+B15</f>
        <v>871387</v>
      </c>
      <c r="J15" s="165">
        <f t="shared" si="3"/>
        <v>911057</v>
      </c>
      <c r="K15" s="165">
        <f t="shared" si="3"/>
        <v>871357</v>
      </c>
      <c r="L15" s="165">
        <f t="shared" si="3"/>
        <v>1035191</v>
      </c>
      <c r="M15" s="165">
        <f t="shared" si="3"/>
        <v>1058185</v>
      </c>
      <c r="N15" s="165" t="e">
        <f t="shared" si="3"/>
        <v>#REF!</v>
      </c>
      <c r="O15" s="166">
        <f t="shared" ref="O15:O25" si="7">AVERAGE(I15:M15)</f>
        <v>949435.4</v>
      </c>
      <c r="Q15" s="167">
        <f t="shared" si="1"/>
        <v>0.35628533672206059</v>
      </c>
      <c r="R15" s="167">
        <f t="shared" si="2"/>
        <v>0.44315063795593385</v>
      </c>
      <c r="S15" s="167">
        <f t="shared" si="2"/>
        <v>0.38069908084203574</v>
      </c>
      <c r="T15" s="167">
        <f t="shared" si="2"/>
        <v>0.49997971471156732</v>
      </c>
      <c r="U15" s="167">
        <f t="shared" si="2"/>
        <v>0.41641710931123743</v>
      </c>
      <c r="V15" s="167" t="e">
        <f t="shared" si="2"/>
        <v>#REF!</v>
      </c>
      <c r="W15" s="167">
        <f t="shared" si="2"/>
        <v>0.41634288816475234</v>
      </c>
    </row>
    <row r="16" spans="1:23" x14ac:dyDescent="0.25">
      <c r="A16">
        <v>15</v>
      </c>
      <c r="B16" s="165">
        <v>90638</v>
      </c>
      <c r="C16" s="165">
        <v>105816</v>
      </c>
      <c r="D16" s="165">
        <v>110755</v>
      </c>
      <c r="E16" s="165">
        <v>35568</v>
      </c>
      <c r="F16" s="165">
        <v>78920</v>
      </c>
      <c r="G16" s="165" t="e">
        <f>#REF!</f>
        <v>#REF!</v>
      </c>
      <c r="I16" s="165">
        <f t="shared" si="6"/>
        <v>962025</v>
      </c>
      <c r="J16" s="165">
        <f t="shared" si="3"/>
        <v>1016873</v>
      </c>
      <c r="K16" s="165">
        <f t="shared" si="3"/>
        <v>982112</v>
      </c>
      <c r="L16" s="165">
        <f t="shared" si="3"/>
        <v>1070759</v>
      </c>
      <c r="M16" s="165">
        <f t="shared" si="3"/>
        <v>1137105</v>
      </c>
      <c r="N16" s="165" t="e">
        <f t="shared" si="3"/>
        <v>#REF!</v>
      </c>
      <c r="O16" s="166">
        <f t="shared" si="7"/>
        <v>1033774.8</v>
      </c>
      <c r="Q16" s="167">
        <f t="shared" si="1"/>
        <v>0.39334463454244822</v>
      </c>
      <c r="R16" s="167">
        <f t="shared" si="2"/>
        <v>0.49462099371407531</v>
      </c>
      <c r="S16" s="167">
        <f t="shared" si="2"/>
        <v>0.42908834804096757</v>
      </c>
      <c r="T16" s="167">
        <f t="shared" si="2"/>
        <v>0.51715845611567635</v>
      </c>
      <c r="U16" s="167">
        <f t="shared" si="2"/>
        <v>0.44747371875745229</v>
      </c>
      <c r="V16" s="167" t="e">
        <f t="shared" si="2"/>
        <v>#REF!</v>
      </c>
      <c r="W16" s="167">
        <f t="shared" si="2"/>
        <v>0.45332708886137935</v>
      </c>
    </row>
    <row r="17" spans="1:23" x14ac:dyDescent="0.25">
      <c r="A17">
        <v>16</v>
      </c>
      <c r="B17" s="165">
        <v>81642</v>
      </c>
      <c r="C17" s="165">
        <v>101029</v>
      </c>
      <c r="D17" s="165">
        <v>71489</v>
      </c>
      <c r="E17" s="165">
        <v>57219</v>
      </c>
      <c r="F17" s="165">
        <v>14837</v>
      </c>
      <c r="G17" s="165" t="e">
        <f>#REF!</f>
        <v>#REF!</v>
      </c>
      <c r="I17" s="165">
        <f t="shared" si="6"/>
        <v>1043667</v>
      </c>
      <c r="J17" s="165">
        <f t="shared" si="3"/>
        <v>1117902</v>
      </c>
      <c r="K17" s="165">
        <f t="shared" si="3"/>
        <v>1053601</v>
      </c>
      <c r="L17" s="165">
        <f t="shared" si="3"/>
        <v>1127978</v>
      </c>
      <c r="M17" s="165">
        <f t="shared" si="3"/>
        <v>1151942</v>
      </c>
      <c r="N17" s="165" t="e">
        <f t="shared" si="3"/>
        <v>#REF!</v>
      </c>
      <c r="O17" s="166">
        <f t="shared" si="7"/>
        <v>1099018</v>
      </c>
      <c r="Q17" s="167">
        <f t="shared" si="1"/>
        <v>0.42672572407059411</v>
      </c>
      <c r="R17" s="167">
        <f t="shared" si="2"/>
        <v>0.54376288692388552</v>
      </c>
      <c r="S17" s="167">
        <f t="shared" si="2"/>
        <v>0.46032215529828724</v>
      </c>
      <c r="T17" s="167">
        <f t="shared" si="2"/>
        <v>0.54479426370681772</v>
      </c>
      <c r="U17" s="167">
        <f t="shared" si="2"/>
        <v>0.45331237707414629</v>
      </c>
      <c r="V17" s="167" t="e">
        <f t="shared" si="2"/>
        <v>#REF!</v>
      </c>
      <c r="W17" s="167">
        <f t="shared" si="2"/>
        <v>0.48193729480178404</v>
      </c>
    </row>
    <row r="18" spans="1:23" x14ac:dyDescent="0.25">
      <c r="A18">
        <v>17</v>
      </c>
      <c r="B18" s="165">
        <v>154136</v>
      </c>
      <c r="C18" s="165">
        <v>52160</v>
      </c>
      <c r="D18" s="165">
        <v>37666</v>
      </c>
      <c r="E18" s="165">
        <v>62040</v>
      </c>
      <c r="F18" s="165">
        <v>32496</v>
      </c>
      <c r="G18" s="165" t="e">
        <f>#REF!</f>
        <v>#REF!</v>
      </c>
      <c r="I18" s="165">
        <f t="shared" si="6"/>
        <v>1197803</v>
      </c>
      <c r="J18" s="165">
        <f t="shared" si="3"/>
        <v>1170062</v>
      </c>
      <c r="K18" s="165">
        <f t="shared" si="3"/>
        <v>1091267</v>
      </c>
      <c r="L18" s="165">
        <f t="shared" si="3"/>
        <v>1190018</v>
      </c>
      <c r="M18" s="165">
        <f t="shared" si="3"/>
        <v>1184438</v>
      </c>
      <c r="N18" s="165" t="e">
        <f t="shared" si="3"/>
        <v>#REF!</v>
      </c>
      <c r="O18" s="166">
        <f t="shared" si="7"/>
        <v>1166717.6000000001</v>
      </c>
      <c r="Q18" s="167">
        <f t="shared" si="1"/>
        <v>0.4897475463619429</v>
      </c>
      <c r="R18" s="167">
        <f t="shared" ref="R18:W18" si="8">J18/J$55</f>
        <v>0.56913422732935026</v>
      </c>
      <c r="S18" s="167">
        <f t="shared" si="8"/>
        <v>0.47677856935015822</v>
      </c>
      <c r="T18" s="167">
        <f t="shared" si="8"/>
        <v>0.57475853262019272</v>
      </c>
      <c r="U18" s="167">
        <f t="shared" si="8"/>
        <v>0.46610020754252179</v>
      </c>
      <c r="V18" s="167" t="e">
        <f t="shared" si="8"/>
        <v>#REF!</v>
      </c>
      <c r="W18" s="167">
        <f t="shared" si="8"/>
        <v>0.51162467215425955</v>
      </c>
    </row>
    <row r="19" spans="1:23" x14ac:dyDescent="0.25">
      <c r="A19">
        <v>18</v>
      </c>
      <c r="B19" s="165">
        <v>31952</v>
      </c>
      <c r="C19" s="165">
        <v>53699</v>
      </c>
      <c r="D19" s="165">
        <v>82562</v>
      </c>
      <c r="E19" s="165">
        <v>17475</v>
      </c>
      <c r="F19" s="165">
        <v>81046</v>
      </c>
      <c r="G19" s="165" t="e">
        <f>#REF!</f>
        <v>#REF!</v>
      </c>
      <c r="I19" s="165">
        <f t="shared" si="6"/>
        <v>1229755</v>
      </c>
      <c r="J19" s="165">
        <f t="shared" si="6"/>
        <v>1223761</v>
      </c>
      <c r="K19" s="165">
        <f t="shared" si="6"/>
        <v>1173829</v>
      </c>
      <c r="L19" s="165">
        <f t="shared" si="6"/>
        <v>1207493</v>
      </c>
      <c r="M19" s="165">
        <f t="shared" si="6"/>
        <v>1265484</v>
      </c>
      <c r="N19" s="165" t="e">
        <f t="shared" si="6"/>
        <v>#REF!</v>
      </c>
      <c r="O19" s="166">
        <f t="shared" si="7"/>
        <v>1220064.3999999999</v>
      </c>
      <c r="Q19" s="167">
        <f t="shared" ref="Q19:V23" si="9">I19/I$55</f>
        <v>0.50281180951820215</v>
      </c>
      <c r="R19" s="167">
        <f t="shared" si="9"/>
        <v>0.59525415847262197</v>
      </c>
      <c r="S19" s="167">
        <f t="shared" si="9"/>
        <v>0.5128502110681683</v>
      </c>
      <c r="T19" s="167">
        <f t="shared" si="9"/>
        <v>0.5831986615573499</v>
      </c>
      <c r="U19" s="167">
        <f t="shared" si="9"/>
        <v>0.49799344080630703</v>
      </c>
      <c r="V19" s="167" t="e">
        <f>N19/N$55</f>
        <v>#REF!</v>
      </c>
      <c r="W19" s="167">
        <f>O19/O$55</f>
        <v>0.5350181129153132</v>
      </c>
    </row>
    <row r="20" spans="1:23" x14ac:dyDescent="0.25">
      <c r="A20">
        <v>19</v>
      </c>
      <c r="B20" s="165">
        <v>43018</v>
      </c>
      <c r="C20" s="165">
        <v>71062</v>
      </c>
      <c r="D20" s="165">
        <v>8994</v>
      </c>
      <c r="E20" s="165">
        <v>8193</v>
      </c>
      <c r="F20" s="165">
        <v>46067</v>
      </c>
      <c r="G20" s="165">
        <v>62423</v>
      </c>
      <c r="I20" s="165">
        <f t="shared" si="6"/>
        <v>1272773</v>
      </c>
      <c r="J20" s="165">
        <f t="shared" si="6"/>
        <v>1294823</v>
      </c>
      <c r="K20" s="165">
        <f t="shared" si="6"/>
        <v>1182823</v>
      </c>
      <c r="L20" s="165">
        <f t="shared" si="6"/>
        <v>1215686</v>
      </c>
      <c r="M20" s="165">
        <f t="shared" si="6"/>
        <v>1311551</v>
      </c>
      <c r="N20" s="165" t="e">
        <f t="shared" si="6"/>
        <v>#REF!</v>
      </c>
      <c r="O20" s="166">
        <f>AVERAGE(I20:M20)</f>
        <v>1255531.2</v>
      </c>
      <c r="Q20" s="167">
        <f t="shared" si="9"/>
        <v>0.52040064503572725</v>
      </c>
      <c r="R20" s="167">
        <f t="shared" si="9"/>
        <v>0.62981969129265913</v>
      </c>
      <c r="S20" s="167">
        <f t="shared" si="9"/>
        <v>0.51677972277587625</v>
      </c>
      <c r="T20" s="167">
        <f t="shared" si="9"/>
        <v>0.58715574175089091</v>
      </c>
      <c r="U20" s="167">
        <f t="shared" si="9"/>
        <v>0.51612173309417808</v>
      </c>
      <c r="V20" s="167" t="e">
        <f t="shared" si="9"/>
        <v>#REF!</v>
      </c>
      <c r="W20" s="167">
        <f>O20/O$55</f>
        <v>0.55057088243071328</v>
      </c>
    </row>
    <row r="21" spans="1:23" x14ac:dyDescent="0.25">
      <c r="A21">
        <v>20</v>
      </c>
      <c r="B21" s="165">
        <v>46958</v>
      </c>
      <c r="C21" s="165">
        <v>61672</v>
      </c>
      <c r="D21" s="165">
        <v>45040</v>
      </c>
      <c r="E21" s="165">
        <v>25935</v>
      </c>
      <c r="F21" s="165">
        <v>110516</v>
      </c>
      <c r="G21" s="165">
        <v>61504</v>
      </c>
      <c r="I21" s="165">
        <f t="shared" si="6"/>
        <v>1319731</v>
      </c>
      <c r="J21" s="165">
        <f t="shared" si="6"/>
        <v>1356495</v>
      </c>
      <c r="K21" s="165">
        <f t="shared" si="6"/>
        <v>1227863</v>
      </c>
      <c r="L21" s="165">
        <f t="shared" si="6"/>
        <v>1241621</v>
      </c>
      <c r="M21" s="165">
        <f t="shared" si="6"/>
        <v>1422067</v>
      </c>
      <c r="N21" s="165" t="e">
        <f t="shared" si="6"/>
        <v>#REF!</v>
      </c>
      <c r="O21" s="166">
        <f t="shared" si="7"/>
        <v>1313555.3999999999</v>
      </c>
      <c r="Q21" s="167">
        <f t="shared" si="9"/>
        <v>0.53960043438511451</v>
      </c>
      <c r="R21" s="167">
        <f t="shared" si="9"/>
        <v>0.6598177991432308</v>
      </c>
      <c r="S21" s="167">
        <f t="shared" si="9"/>
        <v>0.53645786457209221</v>
      </c>
      <c r="T21" s="167">
        <f t="shared" si="9"/>
        <v>0.59968190735805371</v>
      </c>
      <c r="U21" s="167">
        <f t="shared" si="9"/>
        <v>0.55961200488279794</v>
      </c>
      <c r="V21" s="167" t="e">
        <f t="shared" si="9"/>
        <v>#REF!</v>
      </c>
      <c r="W21" s="167">
        <f>O21/O$55</f>
        <v>0.57601543928149979</v>
      </c>
    </row>
    <row r="22" spans="1:23" x14ac:dyDescent="0.25">
      <c r="A22">
        <v>21</v>
      </c>
      <c r="B22" s="165">
        <v>81408</v>
      </c>
      <c r="C22" s="165">
        <v>27272</v>
      </c>
      <c r="D22" s="165">
        <v>43259</v>
      </c>
      <c r="E22" s="165">
        <v>87439</v>
      </c>
      <c r="F22" s="165">
        <v>34553</v>
      </c>
      <c r="G22" s="165">
        <v>116883</v>
      </c>
      <c r="I22" s="165">
        <f t="shared" si="6"/>
        <v>1401139</v>
      </c>
      <c r="J22" s="165">
        <f t="shared" si="6"/>
        <v>1383767</v>
      </c>
      <c r="K22" s="165">
        <f t="shared" si="6"/>
        <v>1271122</v>
      </c>
      <c r="L22" s="165">
        <f t="shared" si="6"/>
        <v>1329060</v>
      </c>
      <c r="M22" s="165">
        <f t="shared" si="6"/>
        <v>1456620</v>
      </c>
      <c r="N22" s="165" t="e">
        <f t="shared" si="6"/>
        <v>#REF!</v>
      </c>
      <c r="O22" s="166">
        <f t="shared" si="7"/>
        <v>1368341.6</v>
      </c>
      <c r="Q22" s="167">
        <f t="shared" si="9"/>
        <v>0.57288584797502284</v>
      </c>
      <c r="R22" s="167">
        <f t="shared" si="9"/>
        <v>0.67308327451780592</v>
      </c>
      <c r="S22" s="167">
        <f t="shared" si="9"/>
        <v>0.55535788091228988</v>
      </c>
      <c r="T22" s="167">
        <f t="shared" si="9"/>
        <v>0.64191346295954632</v>
      </c>
      <c r="U22" s="167">
        <f t="shared" si="9"/>
        <v>0.57320930627908606</v>
      </c>
      <c r="V22" s="167" t="e">
        <f t="shared" si="9"/>
        <v>#REF!</v>
      </c>
      <c r="W22" s="167">
        <f>O22/O$55</f>
        <v>0.60004008038880607</v>
      </c>
    </row>
    <row r="23" spans="1:23" x14ac:dyDescent="0.25">
      <c r="A23">
        <v>22</v>
      </c>
      <c r="B23" s="165">
        <v>43204</v>
      </c>
      <c r="C23" s="165">
        <v>24800</v>
      </c>
      <c r="D23" s="165">
        <v>30562</v>
      </c>
      <c r="E23" s="165">
        <v>19227</v>
      </c>
      <c r="F23" s="165">
        <v>26048</v>
      </c>
      <c r="G23" s="165">
        <v>62703</v>
      </c>
      <c r="I23" s="165">
        <f>I22+B23</f>
        <v>1444343</v>
      </c>
      <c r="J23" s="165">
        <f t="shared" si="6"/>
        <v>1408567</v>
      </c>
      <c r="K23" s="165">
        <f t="shared" si="6"/>
        <v>1301684</v>
      </c>
      <c r="L23" s="165">
        <f t="shared" si="6"/>
        <v>1348287</v>
      </c>
      <c r="M23" s="165">
        <f t="shared" si="6"/>
        <v>1482668</v>
      </c>
      <c r="N23" s="165" t="e">
        <f t="shared" si="6"/>
        <v>#REF!</v>
      </c>
      <c r="O23" s="166">
        <f t="shared" si="7"/>
        <v>1397109.8</v>
      </c>
      <c r="Q23" s="167">
        <f t="shared" si="9"/>
        <v>0.59055073359730081</v>
      </c>
      <c r="R23" s="167">
        <f t="shared" si="9"/>
        <v>0.68514633514003609</v>
      </c>
      <c r="S23" s="167">
        <f t="shared" si="9"/>
        <v>0.56871053121370974</v>
      </c>
      <c r="T23" s="167">
        <f t="shared" si="9"/>
        <v>0.65119977821417985</v>
      </c>
      <c r="U23" s="167">
        <f t="shared" si="9"/>
        <v>0.58345971888495285</v>
      </c>
      <c r="V23" s="167" t="e">
        <f t="shared" si="9"/>
        <v>#REF!</v>
      </c>
      <c r="W23" s="167">
        <f>O23/O$55</f>
        <v>0.61265540469133495</v>
      </c>
    </row>
    <row r="24" spans="1:23" x14ac:dyDescent="0.25">
      <c r="A24">
        <v>23</v>
      </c>
      <c r="B24" s="165">
        <v>42616</v>
      </c>
      <c r="C24" s="165">
        <v>18193</v>
      </c>
      <c r="D24" s="165">
        <v>60708</v>
      </c>
      <c r="E24" s="165">
        <v>57872</v>
      </c>
      <c r="F24" s="165">
        <v>19306</v>
      </c>
      <c r="G24" s="165">
        <v>62703</v>
      </c>
      <c r="I24" s="165">
        <f>I23+B24</f>
        <v>1486959</v>
      </c>
      <c r="J24" s="165">
        <f t="shared" si="6"/>
        <v>1426760</v>
      </c>
      <c r="K24" s="165">
        <f t="shared" si="6"/>
        <v>1362392</v>
      </c>
      <c r="L24" s="165">
        <f t="shared" si="6"/>
        <v>1406159</v>
      </c>
      <c r="M24" s="165">
        <f t="shared" si="6"/>
        <v>1501974</v>
      </c>
      <c r="N24" s="165" t="e">
        <f t="shared" si="6"/>
        <v>#REF!</v>
      </c>
      <c r="O24" s="166">
        <f t="shared" si="7"/>
        <v>1436848.8</v>
      </c>
      <c r="Q24" s="167">
        <f t="shared" ref="Q24:Q53" si="10">I24/I$55</f>
        <v>0.60797520275939221</v>
      </c>
      <c r="R24" s="167">
        <f t="shared" ref="R24:R53" si="11">J24/J$55</f>
        <v>0.69399566021665837</v>
      </c>
    </row>
    <row r="25" spans="1:23" x14ac:dyDescent="0.25">
      <c r="A25">
        <v>24</v>
      </c>
      <c r="B25" s="165">
        <v>90129</v>
      </c>
      <c r="C25" s="165">
        <v>21187</v>
      </c>
      <c r="D25" s="165">
        <v>10573</v>
      </c>
      <c r="E25" s="165">
        <v>29714</v>
      </c>
      <c r="F25" s="165">
        <v>24458</v>
      </c>
      <c r="G25" s="165">
        <v>7703</v>
      </c>
      <c r="I25" s="165">
        <f>I24+B25</f>
        <v>1577088</v>
      </c>
      <c r="J25" s="165">
        <f t="shared" si="6"/>
        <v>1447947</v>
      </c>
      <c r="K25" s="165">
        <f t="shared" si="6"/>
        <v>1372965</v>
      </c>
      <c r="L25" s="165">
        <f t="shared" si="6"/>
        <v>1435873</v>
      </c>
      <c r="M25" s="165">
        <f t="shared" si="6"/>
        <v>1526432</v>
      </c>
      <c r="N25" s="165" t="e">
        <f t="shared" si="6"/>
        <v>#REF!</v>
      </c>
      <c r="O25" s="166">
        <f t="shared" si="7"/>
        <v>1472061</v>
      </c>
      <c r="Q25" s="167">
        <f t="shared" si="10"/>
        <v>0.64482638497053668</v>
      </c>
      <c r="R25" s="167">
        <f t="shared" si="11"/>
        <v>0.70430130801517421</v>
      </c>
    </row>
    <row r="26" spans="1:23" x14ac:dyDescent="0.25">
      <c r="A26">
        <v>25</v>
      </c>
      <c r="B26" s="165">
        <v>15889</v>
      </c>
      <c r="C26" s="165">
        <v>27045</v>
      </c>
      <c r="D26" s="165">
        <v>10320</v>
      </c>
      <c r="E26" s="165">
        <v>63403</v>
      </c>
      <c r="F26" s="165">
        <v>36479</v>
      </c>
      <c r="G26" s="165">
        <v>115003</v>
      </c>
      <c r="I26" s="165">
        <f>I25+B26</f>
        <v>1592977</v>
      </c>
      <c r="J26" s="165">
        <f t="shared" si="6"/>
        <v>1474992</v>
      </c>
      <c r="K26" s="165">
        <f t="shared" si="6"/>
        <v>1383285</v>
      </c>
      <c r="L26" s="165">
        <f t="shared" si="6"/>
        <v>1499276</v>
      </c>
      <c r="M26" s="165">
        <f t="shared" si="6"/>
        <v>1562911</v>
      </c>
      <c r="N26" s="165" t="e">
        <f t="shared" si="6"/>
        <v>#REF!</v>
      </c>
      <c r="O26" s="166">
        <f>AVERAGE(I26:M26)</f>
        <v>1502688.2</v>
      </c>
      <c r="Q26" s="167">
        <f t="shared" si="10"/>
        <v>0.65132294472547547</v>
      </c>
      <c r="R26" s="167">
        <f t="shared" si="11"/>
        <v>0.71745636747195707</v>
      </c>
    </row>
    <row r="27" spans="1:23" x14ac:dyDescent="0.25">
      <c r="A27">
        <v>26</v>
      </c>
      <c r="B27" s="165">
        <v>105428</v>
      </c>
      <c r="C27" s="165">
        <v>27629</v>
      </c>
      <c r="D27" s="165">
        <v>67941</v>
      </c>
      <c r="E27" s="165">
        <v>40373</v>
      </c>
      <c r="F27" s="165">
        <v>49827</v>
      </c>
      <c r="G27" s="165">
        <v>60007</v>
      </c>
      <c r="I27" s="165">
        <f>I26+B27</f>
        <v>1698405</v>
      </c>
      <c r="J27" s="165">
        <f>J26+C27</f>
        <v>1502621</v>
      </c>
      <c r="K27" s="165">
        <f>K26+D27</f>
        <v>1451226</v>
      </c>
      <c r="L27" s="165">
        <f>L26+E27</f>
        <v>1539649</v>
      </c>
      <c r="M27" s="165">
        <f>M26+F27</f>
        <v>1612738</v>
      </c>
      <c r="N27" s="165" t="e">
        <f>N26+G27</f>
        <v>#REF!</v>
      </c>
      <c r="O27" s="166">
        <f>AVERAGE(I27:M27)</f>
        <v>1560927.8</v>
      </c>
      <c r="Q27" s="167">
        <f t="shared" si="10"/>
        <v>0.69442945248831034</v>
      </c>
      <c r="R27" s="167">
        <f t="shared" si="11"/>
        <v>0.73089549254984398</v>
      </c>
    </row>
    <row r="28" spans="1:23" x14ac:dyDescent="0.25">
      <c r="A28">
        <v>27</v>
      </c>
      <c r="B28" s="165">
        <v>37515</v>
      </c>
      <c r="C28" s="165">
        <v>23028</v>
      </c>
      <c r="D28" s="165">
        <v>16077</v>
      </c>
      <c r="E28" s="165">
        <v>28753</v>
      </c>
      <c r="F28" s="165">
        <v>55534</v>
      </c>
      <c r="G28" s="165" t="e">
        <f>#REF!</f>
        <v>#REF!</v>
      </c>
      <c r="I28" s="165">
        <f t="shared" ref="I28:I38" si="12">I27+B28</f>
        <v>1735920</v>
      </c>
      <c r="J28" s="165">
        <f t="shared" ref="J28:J38" si="13">J27+C28</f>
        <v>1525649</v>
      </c>
      <c r="K28" s="165">
        <f t="shared" ref="K28:K38" si="14">K27+D28</f>
        <v>1467303</v>
      </c>
      <c r="L28" s="165">
        <f t="shared" ref="L28:L38" si="15">L27+E28</f>
        <v>1568402</v>
      </c>
      <c r="M28" s="165">
        <f t="shared" ref="M28:M38" si="16">M27+F28</f>
        <v>1668272</v>
      </c>
      <c r="N28" s="165" t="e">
        <f t="shared" ref="N28:N38" si="17">N27+G28</f>
        <v>#REF!</v>
      </c>
      <c r="O28" s="166">
        <f t="shared" ref="O28:O53" si="18">AVERAGE(I28:M28)</f>
        <v>1593109.2</v>
      </c>
      <c r="Q28" s="167">
        <f t="shared" si="10"/>
        <v>0.70976826797113035</v>
      </c>
      <c r="R28" s="167">
        <f t="shared" si="11"/>
        <v>0.74209662803406651</v>
      </c>
    </row>
    <row r="29" spans="1:23" x14ac:dyDescent="0.25">
      <c r="A29">
        <v>28</v>
      </c>
      <c r="B29" s="165">
        <v>71299</v>
      </c>
      <c r="C29" s="165">
        <v>21224</v>
      </c>
      <c r="D29" s="165">
        <v>58482</v>
      </c>
      <c r="E29" s="165">
        <v>12699</v>
      </c>
      <c r="F29" s="165">
        <v>24986</v>
      </c>
      <c r="G29" s="165" t="e">
        <f>#REF!</f>
        <v>#REF!</v>
      </c>
      <c r="I29" s="165">
        <f t="shared" si="12"/>
        <v>1807219</v>
      </c>
      <c r="J29" s="165">
        <f t="shared" si="13"/>
        <v>1546873</v>
      </c>
      <c r="K29" s="165">
        <f t="shared" si="14"/>
        <v>1525785</v>
      </c>
      <c r="L29" s="165">
        <f t="shared" si="15"/>
        <v>1581101</v>
      </c>
      <c r="M29" s="165">
        <f t="shared" si="16"/>
        <v>1693258</v>
      </c>
      <c r="N29" s="165" t="e">
        <f t="shared" si="17"/>
        <v>#REF!</v>
      </c>
      <c r="O29" s="166">
        <f t="shared" si="18"/>
        <v>1630847.2</v>
      </c>
      <c r="Q29" s="167">
        <f t="shared" si="10"/>
        <v>0.73892039925487252</v>
      </c>
      <c r="R29" s="167">
        <f t="shared" si="11"/>
        <v>0.75242027314076865</v>
      </c>
    </row>
    <row r="30" spans="1:23" x14ac:dyDescent="0.25">
      <c r="A30">
        <v>29</v>
      </c>
      <c r="B30" s="165">
        <v>9344</v>
      </c>
      <c r="C30" s="165">
        <v>21397</v>
      </c>
      <c r="D30" s="165">
        <v>11659</v>
      </c>
      <c r="E30" s="165">
        <v>13439</v>
      </c>
      <c r="F30" s="165">
        <v>25914</v>
      </c>
      <c r="G30" s="165" t="e">
        <f>#REF!</f>
        <v>#REF!</v>
      </c>
      <c r="I30" s="165">
        <f t="shared" si="12"/>
        <v>1816563</v>
      </c>
      <c r="J30" s="165">
        <f t="shared" si="13"/>
        <v>1568270</v>
      </c>
      <c r="K30" s="165">
        <f t="shared" si="14"/>
        <v>1537444</v>
      </c>
      <c r="L30" s="165">
        <f t="shared" si="15"/>
        <v>1594540</v>
      </c>
      <c r="M30" s="165">
        <f t="shared" si="16"/>
        <v>1719172</v>
      </c>
      <c r="N30" s="165" t="e">
        <f t="shared" si="17"/>
        <v>#REF!</v>
      </c>
      <c r="O30" s="166">
        <f t="shared" si="18"/>
        <v>1647197.8</v>
      </c>
      <c r="Q30" s="167">
        <f t="shared" si="10"/>
        <v>0.74274089483987771</v>
      </c>
      <c r="R30" s="167">
        <f t="shared" si="11"/>
        <v>0.76282806782358548</v>
      </c>
    </row>
    <row r="31" spans="1:23" x14ac:dyDescent="0.25">
      <c r="A31">
        <v>30</v>
      </c>
      <c r="B31" s="165">
        <v>65034</v>
      </c>
      <c r="C31" s="165">
        <v>24612</v>
      </c>
      <c r="D31" s="165">
        <v>34797</v>
      </c>
      <c r="E31" s="165">
        <v>14842</v>
      </c>
      <c r="F31" s="165">
        <v>30658</v>
      </c>
      <c r="G31" s="165" t="e">
        <f>#REF!</f>
        <v>#REF!</v>
      </c>
      <c r="I31" s="165">
        <f t="shared" si="12"/>
        <v>1881597</v>
      </c>
      <c r="J31" s="165">
        <f t="shared" si="13"/>
        <v>1592882</v>
      </c>
      <c r="K31" s="165">
        <f t="shared" si="14"/>
        <v>1572241</v>
      </c>
      <c r="L31" s="165">
        <f t="shared" si="15"/>
        <v>1609382</v>
      </c>
      <c r="M31" s="165">
        <f t="shared" si="16"/>
        <v>1749830</v>
      </c>
      <c r="N31" s="165" t="e">
        <f t="shared" si="17"/>
        <v>#REF!</v>
      </c>
      <c r="O31" s="166">
        <f t="shared" si="18"/>
        <v>1681186.4</v>
      </c>
      <c r="Q31" s="167">
        <f t="shared" si="10"/>
        <v>0.7693314459823466</v>
      </c>
      <c r="R31" s="167">
        <f t="shared" si="11"/>
        <v>0.77479968266367949</v>
      </c>
    </row>
    <row r="32" spans="1:23" x14ac:dyDescent="0.25">
      <c r="A32">
        <v>31</v>
      </c>
      <c r="B32" s="165">
        <v>38081</v>
      </c>
      <c r="C32" s="165">
        <v>23097</v>
      </c>
      <c r="D32" s="165">
        <v>63343</v>
      </c>
      <c r="E32" s="165">
        <v>21271</v>
      </c>
      <c r="F32" s="165">
        <v>33426</v>
      </c>
      <c r="G32" s="165" t="e">
        <f>#REF!</f>
        <v>#REF!</v>
      </c>
      <c r="I32" s="165">
        <f t="shared" si="12"/>
        <v>1919678</v>
      </c>
      <c r="J32" s="165">
        <f t="shared" si="13"/>
        <v>1615979</v>
      </c>
      <c r="K32" s="165">
        <f t="shared" si="14"/>
        <v>1635584</v>
      </c>
      <c r="L32" s="165">
        <f t="shared" si="15"/>
        <v>1630653</v>
      </c>
      <c r="M32" s="165">
        <f t="shared" si="16"/>
        <v>1783256</v>
      </c>
      <c r="N32" s="165" t="e">
        <f t="shared" si="17"/>
        <v>#REF!</v>
      </c>
      <c r="O32" s="166">
        <f t="shared" si="18"/>
        <v>1717030</v>
      </c>
      <c r="Q32" s="167">
        <f t="shared" si="10"/>
        <v>0.78490168275167271</v>
      </c>
      <c r="R32" s="167">
        <f t="shared" si="11"/>
        <v>0.78603438069560083</v>
      </c>
    </row>
    <row r="33" spans="1:18" x14ac:dyDescent="0.25">
      <c r="A33">
        <v>32</v>
      </c>
      <c r="B33" s="165">
        <v>44228</v>
      </c>
      <c r="C33" s="165">
        <v>23438</v>
      </c>
      <c r="D33" s="165">
        <v>48382</v>
      </c>
      <c r="E33" s="165">
        <v>69709</v>
      </c>
      <c r="F33" s="165">
        <v>28996</v>
      </c>
      <c r="G33" s="165" t="e">
        <f>#REF!</f>
        <v>#REF!</v>
      </c>
      <c r="I33" s="165">
        <f t="shared" si="12"/>
        <v>1963906</v>
      </c>
      <c r="J33" s="165">
        <f t="shared" si="13"/>
        <v>1639417</v>
      </c>
      <c r="K33" s="165">
        <f t="shared" si="14"/>
        <v>1683966</v>
      </c>
      <c r="L33" s="165">
        <f t="shared" si="15"/>
        <v>1700362</v>
      </c>
      <c r="M33" s="165">
        <f t="shared" si="16"/>
        <v>1812252</v>
      </c>
      <c r="N33" s="165" t="e">
        <f t="shared" si="17"/>
        <v>#REF!</v>
      </c>
      <c r="O33" s="166">
        <f t="shared" si="18"/>
        <v>1759980.6</v>
      </c>
      <c r="Q33" s="167">
        <f t="shared" si="10"/>
        <v>0.80298525282162247</v>
      </c>
      <c r="R33" s="167">
        <f t="shared" si="11"/>
        <v>0.79743494581107788</v>
      </c>
    </row>
    <row r="34" spans="1:18" x14ac:dyDescent="0.25">
      <c r="A34">
        <v>33</v>
      </c>
      <c r="B34" s="165">
        <v>0</v>
      </c>
      <c r="C34" s="165">
        <v>0</v>
      </c>
      <c r="D34" s="165">
        <v>0</v>
      </c>
      <c r="E34" s="165">
        <v>15924</v>
      </c>
      <c r="F34" s="165">
        <v>29993</v>
      </c>
      <c r="G34" s="165" t="e">
        <f>#REF!</f>
        <v>#REF!</v>
      </c>
      <c r="I34" s="165">
        <f t="shared" si="12"/>
        <v>1963906</v>
      </c>
      <c r="J34" s="165">
        <f t="shared" si="13"/>
        <v>1639417</v>
      </c>
      <c r="K34" s="165">
        <f t="shared" si="14"/>
        <v>1683966</v>
      </c>
      <c r="L34" s="165">
        <f t="shared" si="15"/>
        <v>1716286</v>
      </c>
      <c r="M34" s="165">
        <f t="shared" si="16"/>
        <v>1842245</v>
      </c>
      <c r="N34" s="165" t="e">
        <f t="shared" si="17"/>
        <v>#REF!</v>
      </c>
      <c r="O34" s="166">
        <f t="shared" si="18"/>
        <v>1769164</v>
      </c>
      <c r="Q34" s="167">
        <f t="shared" si="10"/>
        <v>0.80298525282162247</v>
      </c>
      <c r="R34" s="167">
        <f t="shared" si="11"/>
        <v>0.79743494581107788</v>
      </c>
    </row>
    <row r="35" spans="1:18" x14ac:dyDescent="0.25">
      <c r="A35">
        <v>34</v>
      </c>
      <c r="B35" s="165">
        <v>0</v>
      </c>
      <c r="C35" s="165">
        <v>0</v>
      </c>
      <c r="D35" s="165">
        <v>0</v>
      </c>
      <c r="E35" s="165">
        <v>12825</v>
      </c>
      <c r="F35" s="165">
        <v>25665</v>
      </c>
      <c r="G35" s="165" t="e">
        <f>#REF!</f>
        <v>#REF!</v>
      </c>
      <c r="I35" s="165">
        <f t="shared" si="12"/>
        <v>1963906</v>
      </c>
      <c r="J35" s="165">
        <f t="shared" si="13"/>
        <v>1639417</v>
      </c>
      <c r="K35" s="165">
        <f t="shared" si="14"/>
        <v>1683966</v>
      </c>
      <c r="L35" s="165">
        <f t="shared" si="15"/>
        <v>1729111</v>
      </c>
      <c r="M35" s="165">
        <f t="shared" si="16"/>
        <v>1867910</v>
      </c>
      <c r="N35" s="165" t="e">
        <f t="shared" si="17"/>
        <v>#REF!</v>
      </c>
      <c r="O35" s="166">
        <f t="shared" si="18"/>
        <v>1776862</v>
      </c>
      <c r="Q35" s="167">
        <f t="shared" si="10"/>
        <v>0.80298525282162247</v>
      </c>
      <c r="R35" s="167">
        <f t="shared" si="11"/>
        <v>0.79743494581107788</v>
      </c>
    </row>
    <row r="36" spans="1:18" x14ac:dyDescent="0.25">
      <c r="A36">
        <v>35</v>
      </c>
      <c r="B36" s="165">
        <v>121518</v>
      </c>
      <c r="C36" s="165">
        <v>47004</v>
      </c>
      <c r="D36" s="165">
        <v>67694</v>
      </c>
      <c r="E36" s="165">
        <v>9216</v>
      </c>
      <c r="F36" s="165">
        <v>18681</v>
      </c>
      <c r="G36" s="165" t="e">
        <f>#REF!</f>
        <v>#REF!</v>
      </c>
      <c r="I36" s="165">
        <f t="shared" si="12"/>
        <v>2085424</v>
      </c>
      <c r="J36" s="165">
        <f t="shared" si="13"/>
        <v>1686421</v>
      </c>
      <c r="K36" s="165">
        <f t="shared" si="14"/>
        <v>1751660</v>
      </c>
      <c r="L36" s="165">
        <f t="shared" si="15"/>
        <v>1738327</v>
      </c>
      <c r="M36" s="165">
        <f t="shared" si="16"/>
        <v>1886591</v>
      </c>
      <c r="N36" s="165" t="e">
        <f t="shared" si="17"/>
        <v>#REF!</v>
      </c>
      <c r="O36" s="166">
        <f t="shared" si="18"/>
        <v>1829684.6</v>
      </c>
      <c r="Q36" s="167">
        <f t="shared" si="10"/>
        <v>0.85267050351711293</v>
      </c>
      <c r="R36" s="167">
        <f t="shared" si="11"/>
        <v>0.82029833700008226</v>
      </c>
    </row>
    <row r="37" spans="1:18" x14ac:dyDescent="0.25">
      <c r="A37">
        <v>36</v>
      </c>
      <c r="B37" s="165">
        <v>9702</v>
      </c>
      <c r="C37" s="165">
        <v>7435</v>
      </c>
      <c r="D37" s="165">
        <v>5327</v>
      </c>
      <c r="E37" s="165">
        <v>5488</v>
      </c>
      <c r="F37" s="165">
        <v>11869</v>
      </c>
      <c r="G37" s="165" t="e">
        <f>#REF!</f>
        <v>#REF!</v>
      </c>
      <c r="I37" s="165">
        <f t="shared" si="12"/>
        <v>2095126</v>
      </c>
      <c r="J37" s="165">
        <f t="shared" si="13"/>
        <v>1693856</v>
      </c>
      <c r="K37" s="165">
        <f t="shared" si="14"/>
        <v>1756987</v>
      </c>
      <c r="L37" s="165">
        <f t="shared" si="15"/>
        <v>1743815</v>
      </c>
      <c r="M37" s="165">
        <f t="shared" si="16"/>
        <v>1898460</v>
      </c>
      <c r="N37" s="165" t="e">
        <f t="shared" si="17"/>
        <v>#REF!</v>
      </c>
      <c r="O37" s="166">
        <f t="shared" si="18"/>
        <v>1837648.8</v>
      </c>
      <c r="Q37" s="167">
        <f t="shared" si="10"/>
        <v>0.85663737511019089</v>
      </c>
      <c r="R37" s="167">
        <f t="shared" si="11"/>
        <v>0.8239148231180774</v>
      </c>
    </row>
    <row r="38" spans="1:18" x14ac:dyDescent="0.25">
      <c r="A38">
        <v>37</v>
      </c>
      <c r="B38" s="165">
        <v>41051</v>
      </c>
      <c r="C38" s="165">
        <v>26319</v>
      </c>
      <c r="D38" s="165">
        <v>48957</v>
      </c>
      <c r="E38" s="165">
        <v>17380</v>
      </c>
      <c r="F38" s="165">
        <v>28190</v>
      </c>
      <c r="G38" s="165" t="e">
        <f>#REF!</f>
        <v>#REF!</v>
      </c>
      <c r="I38" s="165">
        <f t="shared" si="12"/>
        <v>2136177</v>
      </c>
      <c r="J38" s="165">
        <f t="shared" si="13"/>
        <v>1720175</v>
      </c>
      <c r="K38" s="165">
        <f t="shared" si="14"/>
        <v>1805944</v>
      </c>
      <c r="L38" s="165">
        <f t="shared" si="15"/>
        <v>1761195</v>
      </c>
      <c r="M38" s="165">
        <f t="shared" si="16"/>
        <v>1926650</v>
      </c>
      <c r="N38" s="165" t="e">
        <f t="shared" si="17"/>
        <v>#REF!</v>
      </c>
      <c r="O38" s="166">
        <f t="shared" si="18"/>
        <v>1870028.2</v>
      </c>
      <c r="Q38" s="167">
        <f t="shared" si="10"/>
        <v>0.87342196032637764</v>
      </c>
      <c r="R38" s="167">
        <f t="shared" si="11"/>
        <v>0.83671674620341918</v>
      </c>
    </row>
    <row r="39" spans="1:18" x14ac:dyDescent="0.25">
      <c r="A39">
        <v>38</v>
      </c>
      <c r="B39" s="165">
        <v>13584</v>
      </c>
      <c r="C39" s="165">
        <v>25178</v>
      </c>
      <c r="D39" s="165">
        <v>20987</v>
      </c>
      <c r="E39" s="165">
        <v>16715</v>
      </c>
      <c r="F39" s="165">
        <v>32029</v>
      </c>
      <c r="G39" s="165" t="e">
        <f>#REF!</f>
        <v>#REF!</v>
      </c>
      <c r="I39" s="165">
        <f t="shared" ref="I39:I53" si="19">I38+B39</f>
        <v>2149761</v>
      </c>
      <c r="J39" s="165">
        <f t="shared" ref="J39:J53" si="20">J38+C39</f>
        <v>1745353</v>
      </c>
      <c r="K39" s="165">
        <f t="shared" ref="K39:K53" si="21">K38+D39</f>
        <v>1826931</v>
      </c>
      <c r="L39" s="165">
        <f t="shared" ref="L39:L53" si="22">L38+E39</f>
        <v>1777910</v>
      </c>
      <c r="M39" s="165">
        <f t="shared" ref="M39:M53" si="23">M38+F39</f>
        <v>1958679</v>
      </c>
      <c r="N39" s="165" t="e">
        <f t="shared" ref="N39:N53" si="24">N38+G39</f>
        <v>#REF!</v>
      </c>
      <c r="O39" s="166">
        <f t="shared" si="18"/>
        <v>1891726.8</v>
      </c>
      <c r="Q39" s="167">
        <f t="shared" si="10"/>
        <v>0.87897607120252386</v>
      </c>
      <c r="R39" s="167">
        <f t="shared" si="11"/>
        <v>0.84896367121739147</v>
      </c>
    </row>
    <row r="40" spans="1:18" x14ac:dyDescent="0.25">
      <c r="A40">
        <v>39</v>
      </c>
      <c r="B40" s="165">
        <v>46614</v>
      </c>
      <c r="C40" s="165">
        <v>24719</v>
      </c>
      <c r="D40" s="165">
        <v>14220</v>
      </c>
      <c r="E40" s="165">
        <v>17371</v>
      </c>
      <c r="F40" s="165">
        <v>36059</v>
      </c>
      <c r="G40" s="165" t="e">
        <f>#REF!</f>
        <v>#REF!</v>
      </c>
      <c r="I40" s="165">
        <f t="shared" si="19"/>
        <v>2196375</v>
      </c>
      <c r="J40" s="165">
        <f t="shared" si="20"/>
        <v>1770072</v>
      </c>
      <c r="K40" s="165">
        <f t="shared" si="21"/>
        <v>1841151</v>
      </c>
      <c r="L40" s="165">
        <f t="shared" si="22"/>
        <v>1795281</v>
      </c>
      <c r="M40" s="165">
        <f t="shared" si="23"/>
        <v>1994738</v>
      </c>
      <c r="N40" s="165" t="e">
        <f t="shared" si="24"/>
        <v>#REF!</v>
      </c>
      <c r="O40" s="166">
        <f t="shared" si="18"/>
        <v>1919523.4</v>
      </c>
      <c r="Q40" s="167">
        <f t="shared" si="10"/>
        <v>0.89803520874527143</v>
      </c>
      <c r="R40" s="167">
        <f t="shared" si="11"/>
        <v>0.86098733232710545</v>
      </c>
    </row>
    <row r="41" spans="1:18" x14ac:dyDescent="0.25">
      <c r="A41">
        <v>40</v>
      </c>
      <c r="B41" s="165">
        <v>9411</v>
      </c>
      <c r="C41" s="165">
        <v>22156</v>
      </c>
      <c r="D41" s="165">
        <v>51593</v>
      </c>
      <c r="E41" s="165">
        <v>51844</v>
      </c>
      <c r="F41" s="165">
        <v>37800</v>
      </c>
      <c r="G41" s="165" t="e">
        <f>#REF!</f>
        <v>#REF!</v>
      </c>
      <c r="I41" s="165">
        <f t="shared" si="19"/>
        <v>2205786</v>
      </c>
      <c r="J41" s="165">
        <f t="shared" si="20"/>
        <v>1792228</v>
      </c>
      <c r="K41" s="165">
        <f t="shared" si="21"/>
        <v>1892744</v>
      </c>
      <c r="L41" s="165">
        <f t="shared" si="22"/>
        <v>1847125</v>
      </c>
      <c r="M41" s="165">
        <f t="shared" si="23"/>
        <v>2032538</v>
      </c>
      <c r="N41" s="165" t="e">
        <f t="shared" si="24"/>
        <v>#REF!</v>
      </c>
      <c r="O41" s="166">
        <f t="shared" si="18"/>
        <v>1954084.2</v>
      </c>
      <c r="Q41" s="167">
        <f t="shared" si="10"/>
        <v>0.90188309872284889</v>
      </c>
      <c r="R41" s="167">
        <f t="shared" si="11"/>
        <v>0.87176431503461072</v>
      </c>
    </row>
    <row r="42" spans="1:18" x14ac:dyDescent="0.25">
      <c r="A42">
        <v>41</v>
      </c>
      <c r="B42" s="165">
        <v>12452</v>
      </c>
      <c r="C42" s="165">
        <v>27735</v>
      </c>
      <c r="D42" s="165">
        <v>29378</v>
      </c>
      <c r="E42" s="165">
        <v>13434</v>
      </c>
      <c r="F42" s="165">
        <v>29616</v>
      </c>
      <c r="G42" s="165" t="e">
        <f>#REF!</f>
        <v>#REF!</v>
      </c>
      <c r="I42" s="165">
        <f t="shared" si="19"/>
        <v>2218238</v>
      </c>
      <c r="J42" s="165">
        <f t="shared" si="20"/>
        <v>1819963</v>
      </c>
      <c r="K42" s="165">
        <f t="shared" si="21"/>
        <v>1922122</v>
      </c>
      <c r="L42" s="165">
        <f t="shared" si="22"/>
        <v>1860559</v>
      </c>
      <c r="M42" s="165">
        <f t="shared" si="23"/>
        <v>2062154</v>
      </c>
      <c r="N42" s="165" t="e">
        <f t="shared" si="24"/>
        <v>#REF!</v>
      </c>
      <c r="O42" s="166">
        <f t="shared" si="18"/>
        <v>1976607.2</v>
      </c>
      <c r="Q42" s="167">
        <f t="shared" si="10"/>
        <v>0.906974367025983</v>
      </c>
      <c r="R42" s="167">
        <f t="shared" si="11"/>
        <v>0.88525499996838308</v>
      </c>
    </row>
    <row r="43" spans="1:18" x14ac:dyDescent="0.25">
      <c r="A43">
        <v>42</v>
      </c>
      <c r="B43" s="165">
        <v>13558</v>
      </c>
      <c r="C43" s="165">
        <v>22109</v>
      </c>
      <c r="D43" s="165">
        <v>39741</v>
      </c>
      <c r="E43" s="165">
        <v>10290</v>
      </c>
      <c r="F43" s="165">
        <v>48535</v>
      </c>
      <c r="G43" s="165" t="e">
        <f>#REF!</f>
        <v>#REF!</v>
      </c>
      <c r="I43" s="165">
        <f t="shared" si="19"/>
        <v>2231796</v>
      </c>
      <c r="J43" s="165">
        <f t="shared" si="20"/>
        <v>1842072</v>
      </c>
      <c r="K43" s="165">
        <f t="shared" si="21"/>
        <v>1961863</v>
      </c>
      <c r="L43" s="165">
        <f t="shared" si="22"/>
        <v>1870849</v>
      </c>
      <c r="M43" s="165">
        <f t="shared" si="23"/>
        <v>2110689</v>
      </c>
      <c r="N43" s="165" t="e">
        <f t="shared" si="24"/>
        <v>#REF!</v>
      </c>
      <c r="O43" s="166">
        <f t="shared" si="18"/>
        <v>2003453.8</v>
      </c>
      <c r="Q43" s="167">
        <f t="shared" si="10"/>
        <v>0.9125178472423251</v>
      </c>
      <c r="R43" s="167">
        <f t="shared" si="11"/>
        <v>0.89600912123035437</v>
      </c>
    </row>
    <row r="44" spans="1:18" x14ac:dyDescent="0.25">
      <c r="A44">
        <v>43</v>
      </c>
      <c r="B44" s="165">
        <v>16123</v>
      </c>
      <c r="C44" s="165">
        <v>19963</v>
      </c>
      <c r="D44" s="165">
        <v>28173</v>
      </c>
      <c r="E44" s="165">
        <v>29405</v>
      </c>
      <c r="F44" s="165">
        <v>64260</v>
      </c>
      <c r="G44" s="165" t="e">
        <f>#REF!</f>
        <v>#REF!</v>
      </c>
      <c r="I44" s="165">
        <f t="shared" si="19"/>
        <v>2247919</v>
      </c>
      <c r="J44" s="165">
        <f t="shared" si="20"/>
        <v>1862035</v>
      </c>
      <c r="K44" s="165">
        <f t="shared" si="21"/>
        <v>1990036</v>
      </c>
      <c r="L44" s="165">
        <f t="shared" si="22"/>
        <v>1900254</v>
      </c>
      <c r="M44" s="165">
        <f t="shared" si="23"/>
        <v>2174949</v>
      </c>
      <c r="N44" s="165" t="e">
        <f t="shared" si="24"/>
        <v>#REF!</v>
      </c>
      <c r="O44" s="166">
        <f t="shared" si="18"/>
        <v>2035038.6</v>
      </c>
      <c r="Q44" s="167">
        <f t="shared" si="10"/>
        <v>0.91911008293550134</v>
      </c>
      <c r="R44" s="167">
        <f t="shared" si="11"/>
        <v>0.90571939861751494</v>
      </c>
    </row>
    <row r="45" spans="1:18" x14ac:dyDescent="0.25">
      <c r="A45">
        <v>44</v>
      </c>
      <c r="B45" s="165">
        <v>49340</v>
      </c>
      <c r="C45" s="165">
        <v>32967</v>
      </c>
      <c r="D45" s="165">
        <v>14286</v>
      </c>
      <c r="E45" s="165">
        <v>43796</v>
      </c>
      <c r="F45" s="165">
        <v>36450</v>
      </c>
      <c r="G45" s="165" t="e">
        <f>#REF!</f>
        <v>#REF!</v>
      </c>
      <c r="I45" s="165">
        <f t="shared" si="19"/>
        <v>2297259</v>
      </c>
      <c r="J45" s="165">
        <f t="shared" si="20"/>
        <v>1895002</v>
      </c>
      <c r="K45" s="165">
        <f t="shared" si="21"/>
        <v>2004322</v>
      </c>
      <c r="L45" s="165">
        <f t="shared" si="22"/>
        <v>1944050</v>
      </c>
      <c r="M45" s="165">
        <f t="shared" si="23"/>
        <v>2211399</v>
      </c>
      <c r="N45" s="165" t="e">
        <f t="shared" si="24"/>
        <v>#REF!</v>
      </c>
      <c r="O45" s="166">
        <f t="shared" si="18"/>
        <v>2070406.4</v>
      </c>
      <c r="Q45" s="167">
        <f t="shared" si="10"/>
        <v>0.93928380427156266</v>
      </c>
      <c r="R45" s="167">
        <f t="shared" si="11"/>
        <v>0.92175500021158996</v>
      </c>
    </row>
    <row r="46" spans="1:18" x14ac:dyDescent="0.25">
      <c r="A46">
        <v>45</v>
      </c>
      <c r="B46" s="165">
        <v>12141</v>
      </c>
      <c r="C46" s="165">
        <v>20140</v>
      </c>
      <c r="D46" s="165">
        <v>13766</v>
      </c>
      <c r="E46" s="165">
        <v>13596</v>
      </c>
      <c r="F46" s="165">
        <v>33237</v>
      </c>
      <c r="G46" s="165" t="e">
        <f>#REF!</f>
        <v>#REF!</v>
      </c>
      <c r="I46" s="165">
        <f t="shared" si="19"/>
        <v>2309400</v>
      </c>
      <c r="J46" s="165">
        <f t="shared" si="20"/>
        <v>1915142</v>
      </c>
      <c r="K46" s="165">
        <f t="shared" si="21"/>
        <v>2018088</v>
      </c>
      <c r="L46" s="165">
        <f t="shared" si="22"/>
        <v>1957646</v>
      </c>
      <c r="M46" s="165">
        <f t="shared" si="23"/>
        <v>2244636</v>
      </c>
      <c r="N46" s="165" t="e">
        <f t="shared" si="24"/>
        <v>#REF!</v>
      </c>
      <c r="O46" s="166">
        <f t="shared" si="18"/>
        <v>2088982.4</v>
      </c>
      <c r="Q46" s="167">
        <f t="shared" si="10"/>
        <v>0.94424791352857762</v>
      </c>
      <c r="R46" s="167">
        <f t="shared" si="11"/>
        <v>0.93155137282980427</v>
      </c>
    </row>
    <row r="47" spans="1:18" x14ac:dyDescent="0.25">
      <c r="A47">
        <v>46</v>
      </c>
      <c r="B47" s="165">
        <v>8571</v>
      </c>
      <c r="C47" s="165">
        <v>26106</v>
      </c>
      <c r="D47" s="165">
        <v>27679</v>
      </c>
      <c r="E47" s="165">
        <v>16059</v>
      </c>
      <c r="F47" s="165">
        <v>35051</v>
      </c>
      <c r="G47" s="165" t="e">
        <f>#REF!</f>
        <v>#REF!</v>
      </c>
      <c r="I47" s="165">
        <f t="shared" si="19"/>
        <v>2317971</v>
      </c>
      <c r="J47" s="165">
        <f t="shared" si="20"/>
        <v>1941248</v>
      </c>
      <c r="K47" s="165">
        <f t="shared" si="21"/>
        <v>2045767</v>
      </c>
      <c r="L47" s="165">
        <f t="shared" si="22"/>
        <v>1973705</v>
      </c>
      <c r="M47" s="165">
        <f t="shared" si="23"/>
        <v>2279687</v>
      </c>
      <c r="N47" s="165" t="e">
        <f t="shared" si="24"/>
        <v>#REF!</v>
      </c>
      <c r="O47" s="166">
        <f t="shared" si="18"/>
        <v>2111675.6</v>
      </c>
      <c r="Q47" s="167">
        <f t="shared" si="10"/>
        <v>0.94775235142017433</v>
      </c>
      <c r="R47" s="167">
        <f t="shared" si="11"/>
        <v>0.94424968978964063</v>
      </c>
    </row>
    <row r="48" spans="1:18" x14ac:dyDescent="0.25">
      <c r="A48">
        <v>47</v>
      </c>
      <c r="B48" s="165">
        <v>21048</v>
      </c>
      <c r="C48" s="165">
        <v>20407</v>
      </c>
      <c r="D48" s="165">
        <v>29265</v>
      </c>
      <c r="E48" s="165">
        <v>13841</v>
      </c>
      <c r="F48" s="165">
        <v>31043</v>
      </c>
      <c r="G48" s="165" t="e">
        <f>#REF!</f>
        <v>#REF!</v>
      </c>
      <c r="I48" s="165">
        <f t="shared" si="19"/>
        <v>2339019</v>
      </c>
      <c r="J48" s="165">
        <f t="shared" si="20"/>
        <v>1961655</v>
      </c>
      <c r="K48" s="165">
        <f t="shared" si="21"/>
        <v>2075032</v>
      </c>
      <c r="L48" s="165">
        <f t="shared" si="22"/>
        <v>1987546</v>
      </c>
      <c r="M48" s="165">
        <f t="shared" si="23"/>
        <v>2310730</v>
      </c>
      <c r="N48" s="165" t="e">
        <f t="shared" si="24"/>
        <v>#REF!</v>
      </c>
      <c r="O48" s="166">
        <f t="shared" si="18"/>
        <v>2134796.4</v>
      </c>
      <c r="Q48" s="167">
        <f t="shared" si="10"/>
        <v>0.95635827940317841</v>
      </c>
      <c r="R48" s="167">
        <f t="shared" si="11"/>
        <v>0.95417593487503793</v>
      </c>
    </row>
    <row r="49" spans="1:18" x14ac:dyDescent="0.25">
      <c r="A49">
        <v>48</v>
      </c>
      <c r="B49" s="165">
        <v>36730</v>
      </c>
      <c r="C49" s="165">
        <v>20198</v>
      </c>
      <c r="D49" s="165">
        <v>14531</v>
      </c>
      <c r="E49" s="165">
        <v>13263</v>
      </c>
      <c r="F49" s="165">
        <v>33992</v>
      </c>
      <c r="G49" s="165" t="e">
        <f>#REF!</f>
        <v>#REF!</v>
      </c>
      <c r="I49" s="165">
        <f t="shared" si="19"/>
        <v>2375749</v>
      </c>
      <c r="J49" s="165">
        <f t="shared" si="20"/>
        <v>1981853</v>
      </c>
      <c r="K49" s="165">
        <f t="shared" si="21"/>
        <v>2089563</v>
      </c>
      <c r="L49" s="165">
        <f t="shared" si="22"/>
        <v>2000809</v>
      </c>
      <c r="M49" s="165">
        <f t="shared" si="23"/>
        <v>2344722</v>
      </c>
      <c r="N49" s="165" t="e">
        <f t="shared" si="24"/>
        <v>#REF!</v>
      </c>
      <c r="O49" s="166">
        <f t="shared" si="18"/>
        <v>2158539.2000000002</v>
      </c>
      <c r="Q49" s="167">
        <f t="shared" si="10"/>
        <v>0.9713761307342188</v>
      </c>
      <c r="R49" s="167">
        <f t="shared" si="11"/>
        <v>0.96400051948986876</v>
      </c>
    </row>
    <row r="50" spans="1:18" x14ac:dyDescent="0.25">
      <c r="A50">
        <v>49</v>
      </c>
      <c r="B50" s="165">
        <v>8547</v>
      </c>
      <c r="C50" s="165">
        <v>17540</v>
      </c>
      <c r="D50" s="165">
        <v>56594</v>
      </c>
      <c r="E50" s="165">
        <v>18343</v>
      </c>
      <c r="F50" s="165">
        <v>30756</v>
      </c>
      <c r="G50" s="165" t="e">
        <f>#REF!</f>
        <v>#REF!</v>
      </c>
      <c r="I50" s="165">
        <f t="shared" si="19"/>
        <v>2384296</v>
      </c>
      <c r="J50" s="165">
        <f t="shared" si="20"/>
        <v>1999393</v>
      </c>
      <c r="K50" s="165">
        <f t="shared" si="21"/>
        <v>2146157</v>
      </c>
      <c r="L50" s="165">
        <f t="shared" si="22"/>
        <v>2019152</v>
      </c>
      <c r="M50" s="165">
        <f t="shared" si="23"/>
        <v>2375478</v>
      </c>
      <c r="N50" s="165" t="e">
        <f t="shared" si="24"/>
        <v>#REF!</v>
      </c>
      <c r="O50" s="166">
        <f t="shared" si="18"/>
        <v>2184895.2000000002</v>
      </c>
      <c r="Q50" s="167">
        <f t="shared" si="10"/>
        <v>0.97487075570907322</v>
      </c>
      <c r="R50" s="167">
        <f t="shared" si="11"/>
        <v>0.97253221639768794</v>
      </c>
    </row>
    <row r="51" spans="1:18" x14ac:dyDescent="0.25">
      <c r="A51">
        <v>50</v>
      </c>
      <c r="B51" s="165">
        <v>7370</v>
      </c>
      <c r="C51" s="165">
        <v>17653</v>
      </c>
      <c r="D51" s="165">
        <v>18943</v>
      </c>
      <c r="E51" s="165">
        <v>14877</v>
      </c>
      <c r="F51" s="165">
        <v>47830</v>
      </c>
      <c r="G51" s="165" t="e">
        <f>#REF!</f>
        <v>#REF!</v>
      </c>
      <c r="I51" s="165">
        <f t="shared" si="19"/>
        <v>2391666</v>
      </c>
      <c r="J51" s="165">
        <f t="shared" si="20"/>
        <v>2017046</v>
      </c>
      <c r="K51" s="165">
        <f t="shared" si="21"/>
        <v>2165100</v>
      </c>
      <c r="L51" s="165">
        <f t="shared" si="22"/>
        <v>2034029</v>
      </c>
      <c r="M51" s="165">
        <f t="shared" si="23"/>
        <v>2423308</v>
      </c>
      <c r="N51" s="165" t="e">
        <f t="shared" si="24"/>
        <v>#REF!</v>
      </c>
      <c r="O51" s="166">
        <f t="shared" si="18"/>
        <v>2206229.7999999998</v>
      </c>
      <c r="Q51" s="167">
        <f t="shared" si="10"/>
        <v>0.97788413889202352</v>
      </c>
      <c r="R51" s="167">
        <f t="shared" si="11"/>
        <v>0.98111887805753595</v>
      </c>
    </row>
    <row r="52" spans="1:18" x14ac:dyDescent="0.25">
      <c r="A52">
        <v>51</v>
      </c>
      <c r="B52" s="165">
        <v>9448</v>
      </c>
      <c r="C52" s="165">
        <v>13877</v>
      </c>
      <c r="D52" s="165">
        <v>14289</v>
      </c>
      <c r="E52" s="165">
        <v>11637</v>
      </c>
      <c r="F52" s="165">
        <v>25932</v>
      </c>
      <c r="G52" s="165" t="e">
        <f>#REF!</f>
        <v>#REF!</v>
      </c>
      <c r="I52" s="165">
        <f t="shared" si="19"/>
        <v>2401114</v>
      </c>
      <c r="J52" s="165">
        <f t="shared" si="20"/>
        <v>2030923</v>
      </c>
      <c r="K52" s="165">
        <f t="shared" si="21"/>
        <v>2179389</v>
      </c>
      <c r="L52" s="165">
        <f t="shared" si="22"/>
        <v>2045666</v>
      </c>
      <c r="M52" s="165">
        <f t="shared" si="23"/>
        <v>2449240</v>
      </c>
      <c r="N52" s="165" t="e">
        <f t="shared" si="24"/>
        <v>#REF!</v>
      </c>
      <c r="O52" s="166">
        <f t="shared" si="18"/>
        <v>2221266.4</v>
      </c>
      <c r="Q52" s="167">
        <f t="shared" si="10"/>
        <v>0.98174715711624549</v>
      </c>
      <c r="R52" s="167">
        <f t="shared" si="11"/>
        <v>0.98786884145490239</v>
      </c>
    </row>
    <row r="53" spans="1:18" x14ac:dyDescent="0.25">
      <c r="A53">
        <v>52</v>
      </c>
      <c r="B53" s="165">
        <v>44642</v>
      </c>
      <c r="C53" s="165">
        <v>24940</v>
      </c>
      <c r="D53" s="165">
        <v>109445</v>
      </c>
      <c r="E53" s="165">
        <v>24800</v>
      </c>
      <c r="F53" s="165">
        <v>45980</v>
      </c>
      <c r="G53" s="165" t="e">
        <f>#REF!</f>
        <v>#REF!</v>
      </c>
      <c r="I53" s="165">
        <f t="shared" si="19"/>
        <v>2445756</v>
      </c>
      <c r="J53" s="165">
        <f t="shared" si="20"/>
        <v>2055863</v>
      </c>
      <c r="K53" s="165">
        <f t="shared" si="21"/>
        <v>2288834</v>
      </c>
      <c r="L53" s="165">
        <f t="shared" si="22"/>
        <v>2070466</v>
      </c>
      <c r="M53" s="165">
        <f t="shared" si="23"/>
        <v>2495220</v>
      </c>
      <c r="N53" s="165" t="e">
        <f t="shared" si="24"/>
        <v>#REF!</v>
      </c>
      <c r="O53" s="166">
        <f t="shared" si="18"/>
        <v>2271227.7999999998</v>
      </c>
      <c r="Q53" s="167">
        <f t="shared" si="10"/>
        <v>1</v>
      </c>
      <c r="R53" s="167">
        <f t="shared" si="11"/>
        <v>1</v>
      </c>
    </row>
    <row r="54" spans="1:18" x14ac:dyDescent="0.25">
      <c r="B54" s="165"/>
      <c r="C54" s="165"/>
      <c r="D54" s="165"/>
      <c r="E54" s="165"/>
      <c r="F54" s="165">
        <v>45946</v>
      </c>
      <c r="G54" s="165" t="e">
        <f>#REF!</f>
        <v>#REF!</v>
      </c>
    </row>
    <row r="55" spans="1:18" x14ac:dyDescent="0.25">
      <c r="B55" s="166">
        <f>SUM(B2:B54)</f>
        <v>2445756</v>
      </c>
      <c r="C55" s="166">
        <f>SUM(C2:C54)</f>
        <v>2055863</v>
      </c>
      <c r="D55" s="166">
        <f>SUM(D2:D54)</f>
        <v>2288834</v>
      </c>
      <c r="E55" s="166">
        <f>SUM(E2:E54)</f>
        <v>2070466</v>
      </c>
      <c r="F55" s="166">
        <f>SUM(F2:F54)</f>
        <v>2541166</v>
      </c>
      <c r="I55" s="165">
        <v>2445756</v>
      </c>
      <c r="J55" s="165">
        <v>2055863</v>
      </c>
      <c r="K55" s="165">
        <v>2288834</v>
      </c>
      <c r="L55" s="165">
        <v>2070466</v>
      </c>
      <c r="M55" s="165">
        <v>2541166</v>
      </c>
      <c r="N55" s="165">
        <v>2500000</v>
      </c>
      <c r="O55" s="165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8" customFormat="1" ht="15.6" x14ac:dyDescent="0.3">
      <c r="A1" s="67" t="s">
        <v>156</v>
      </c>
    </row>
    <row r="2" spans="1:2" s="68" customFormat="1" ht="15.6" x14ac:dyDescent="0.3">
      <c r="A2" s="67" t="s">
        <v>149</v>
      </c>
    </row>
    <row r="3" spans="1:2" s="68" customFormat="1" ht="15" x14ac:dyDescent="0.25"/>
    <row r="4" spans="1:2" s="68" customFormat="1" ht="15" x14ac:dyDescent="0.25">
      <c r="A4" s="121" t="s">
        <v>127</v>
      </c>
      <c r="B4" s="97" t="e">
        <f>#REF!</f>
        <v>#REF!</v>
      </c>
    </row>
    <row r="5" spans="1:2" s="68" customFormat="1" ht="15" x14ac:dyDescent="0.25">
      <c r="A5" s="121" t="s">
        <v>123</v>
      </c>
      <c r="B5" s="69" t="e">
        <f>B4</f>
        <v>#REF!</v>
      </c>
    </row>
    <row r="6" spans="1:2" s="68" customFormat="1" ht="15" x14ac:dyDescent="0.25">
      <c r="A6" s="121"/>
      <c r="B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8" customFormat="1" ht="15.6" x14ac:dyDescent="0.3">
      <c r="A1" s="67" t="s">
        <v>154</v>
      </c>
    </row>
    <row r="2" spans="1:8" s="68" customFormat="1" ht="15.6" x14ac:dyDescent="0.3">
      <c r="A2" s="67" t="s">
        <v>149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160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161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148</v>
      </c>
      <c r="D10" s="130" t="s">
        <v>203</v>
      </c>
      <c r="E10" s="130" t="s">
        <v>210</v>
      </c>
      <c r="F10" s="130" t="s">
        <v>147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87</v>
      </c>
      <c r="D12" s="131">
        <v>0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392</v>
      </c>
      <c r="D14" s="131">
        <v>0</v>
      </c>
      <c r="E14" s="131">
        <v>0</v>
      </c>
      <c r="F14" s="131">
        <v>0</v>
      </c>
      <c r="G14" s="132">
        <f t="shared" si="0"/>
        <v>392</v>
      </c>
      <c r="H14" s="132">
        <f t="shared" si="1"/>
        <v>479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2">
        <f t="shared" si="0"/>
        <v>0</v>
      </c>
      <c r="H15" s="132">
        <f t="shared" si="1"/>
        <v>479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479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2">
        <f t="shared" si="0"/>
        <v>0</v>
      </c>
      <c r="H17" s="132">
        <f t="shared" si="1"/>
        <v>479</v>
      </c>
    </row>
    <row r="18" spans="1:8" x14ac:dyDescent="0.25">
      <c r="A18" s="129">
        <v>8</v>
      </c>
      <c r="B18" s="129" t="s">
        <v>138</v>
      </c>
      <c r="C18" s="131">
        <v>131</v>
      </c>
      <c r="D18" s="131">
        <v>0</v>
      </c>
      <c r="E18" s="131">
        <v>0</v>
      </c>
      <c r="F18" s="131">
        <v>0</v>
      </c>
      <c r="G18" s="132">
        <f t="shared" si="0"/>
        <v>131</v>
      </c>
      <c r="H18" s="132">
        <f t="shared" si="1"/>
        <v>610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610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610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610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610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610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610</v>
      </c>
    </row>
    <row r="25" spans="1:8" x14ac:dyDescent="0.25">
      <c r="A25" s="129">
        <v>15</v>
      </c>
      <c r="B25" s="129" t="s">
        <v>151</v>
      </c>
      <c r="C25" s="131">
        <v>260</v>
      </c>
      <c r="D25" s="131">
        <v>0</v>
      </c>
      <c r="E25" s="131">
        <v>0</v>
      </c>
      <c r="F25" s="131">
        <v>0</v>
      </c>
      <c r="G25" s="132">
        <f t="shared" si="0"/>
        <v>260</v>
      </c>
      <c r="H25" s="132">
        <f t="shared" si="1"/>
        <v>870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870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0</v>
      </c>
      <c r="F27" s="131">
        <v>0</v>
      </c>
      <c r="G27" s="132">
        <f t="shared" si="0"/>
        <v>0</v>
      </c>
      <c r="H27" s="132">
        <f t="shared" si="1"/>
        <v>870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870</v>
      </c>
    </row>
    <row r="29" spans="1:8" x14ac:dyDescent="0.25">
      <c r="A29" s="129">
        <v>19</v>
      </c>
      <c r="B29" s="129" t="s">
        <v>170</v>
      </c>
      <c r="C29" s="131">
        <v>143</v>
      </c>
      <c r="D29" s="131">
        <v>0</v>
      </c>
      <c r="E29" s="131">
        <v>0</v>
      </c>
      <c r="F29" s="131">
        <v>0</v>
      </c>
      <c r="G29" s="132">
        <f t="shared" si="0"/>
        <v>143</v>
      </c>
      <c r="H29" s="132">
        <f t="shared" si="1"/>
        <v>1013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1013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1013</v>
      </c>
    </row>
    <row r="32" spans="1:8" x14ac:dyDescent="0.25">
      <c r="A32" s="129">
        <v>22</v>
      </c>
      <c r="B32" s="129" t="s">
        <v>173</v>
      </c>
      <c r="C32" s="131">
        <v>111</v>
      </c>
      <c r="D32" s="131">
        <v>0</v>
      </c>
      <c r="E32" s="131">
        <v>0</v>
      </c>
      <c r="F32" s="131">
        <v>0</v>
      </c>
      <c r="G32" s="132">
        <f t="shared" si="0"/>
        <v>111</v>
      </c>
      <c r="H32" s="132">
        <f t="shared" si="1"/>
        <v>1124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2">
        <f t="shared" si="0"/>
        <v>0</v>
      </c>
      <c r="H33" s="132">
        <f t="shared" si="1"/>
        <v>1124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1124</v>
      </c>
    </row>
    <row r="35" spans="1:8" x14ac:dyDescent="0.25">
      <c r="A35" s="129">
        <v>25</v>
      </c>
      <c r="B35" s="129" t="s">
        <v>176</v>
      </c>
      <c r="C35" s="131">
        <v>1022</v>
      </c>
      <c r="D35" s="131">
        <v>8294</v>
      </c>
      <c r="E35" s="131">
        <v>0</v>
      </c>
      <c r="F35" s="131">
        <v>0</v>
      </c>
      <c r="G35" s="132">
        <f t="shared" si="0"/>
        <v>9316</v>
      </c>
      <c r="H35" s="132">
        <f t="shared" si="1"/>
        <v>10440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0</v>
      </c>
      <c r="E36" s="131">
        <v>0</v>
      </c>
      <c r="F36" s="131">
        <v>0</v>
      </c>
      <c r="G36" s="132">
        <f t="shared" si="0"/>
        <v>0</v>
      </c>
      <c r="H36" s="132">
        <f t="shared" si="1"/>
        <v>10440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10440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10440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10440</v>
      </c>
    </row>
    <row r="40" spans="1:8" x14ac:dyDescent="0.25">
      <c r="A40" s="129">
        <v>30</v>
      </c>
      <c r="B40" s="129" t="s">
        <v>183</v>
      </c>
      <c r="C40" s="131">
        <v>0</v>
      </c>
      <c r="D40" s="131">
        <v>0</v>
      </c>
      <c r="E40" s="131">
        <v>0</v>
      </c>
      <c r="F40" s="131">
        <v>0</v>
      </c>
      <c r="G40" s="132">
        <f t="shared" si="0"/>
        <v>0</v>
      </c>
      <c r="H40" s="132">
        <f t="shared" si="1"/>
        <v>10440</v>
      </c>
    </row>
    <row r="41" spans="1:8" x14ac:dyDescent="0.25">
      <c r="A41" s="129">
        <v>31</v>
      </c>
      <c r="B41" s="129" t="s">
        <v>185</v>
      </c>
      <c r="C41" s="131">
        <v>374</v>
      </c>
      <c r="D41" s="131">
        <v>0</v>
      </c>
      <c r="E41" s="131">
        <v>0</v>
      </c>
      <c r="F41" s="131">
        <v>0</v>
      </c>
      <c r="G41" s="132">
        <f t="shared" si="0"/>
        <v>374</v>
      </c>
      <c r="H41" s="132">
        <f t="shared" si="1"/>
        <v>10814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10814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10814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10814</v>
      </c>
    </row>
    <row r="45" spans="1:8" x14ac:dyDescent="0.25">
      <c r="A45" s="129" t="s">
        <v>197</v>
      </c>
      <c r="B45" s="129" t="s">
        <v>189</v>
      </c>
      <c r="C45" s="131">
        <v>141</v>
      </c>
      <c r="D45" s="131">
        <v>0</v>
      </c>
      <c r="E45" s="131">
        <v>0</v>
      </c>
      <c r="F45" s="131">
        <v>0</v>
      </c>
      <c r="G45" s="132">
        <f t="shared" si="0"/>
        <v>141</v>
      </c>
      <c r="H45" s="132">
        <f t="shared" si="1"/>
        <v>10955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2">
        <f t="shared" si="0"/>
        <v>0</v>
      </c>
      <c r="H46" s="132">
        <f t="shared" si="1"/>
        <v>10955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2">
        <f t="shared" si="0"/>
        <v>0</v>
      </c>
      <c r="H47" s="132">
        <f t="shared" si="1"/>
        <v>10955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0</v>
      </c>
      <c r="G48" s="132">
        <f t="shared" si="0"/>
        <v>0</v>
      </c>
      <c r="H48" s="132">
        <f t="shared" si="1"/>
        <v>10955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0</v>
      </c>
      <c r="E49" s="131">
        <v>0</v>
      </c>
      <c r="F49" s="131">
        <v>0</v>
      </c>
      <c r="G49" s="132">
        <f t="shared" si="0"/>
        <v>0</v>
      </c>
      <c r="H49" s="132">
        <f t="shared" si="1"/>
        <v>10955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149</v>
      </c>
      <c r="F50" s="131">
        <v>0</v>
      </c>
      <c r="G50" s="132">
        <f t="shared" si="0"/>
        <v>149</v>
      </c>
      <c r="H50" s="132">
        <f t="shared" si="1"/>
        <v>11104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11104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11104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0</v>
      </c>
      <c r="E53" s="131">
        <v>0</v>
      </c>
      <c r="F53" s="131">
        <v>0</v>
      </c>
      <c r="G53" s="132">
        <f t="shared" si="0"/>
        <v>0</v>
      </c>
      <c r="H53" s="132">
        <f t="shared" si="1"/>
        <v>11104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11104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429</v>
      </c>
      <c r="G55" s="132">
        <f t="shared" si="0"/>
        <v>429</v>
      </c>
      <c r="H55" s="132">
        <f t="shared" si="1"/>
        <v>11533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11533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11533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11533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11533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11533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11533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11533</v>
      </c>
    </row>
    <row r="63" spans="1:8" x14ac:dyDescent="0.25">
      <c r="A63" s="129" t="s">
        <v>116</v>
      </c>
      <c r="B63" s="129" t="s">
        <v>117</v>
      </c>
      <c r="C63" s="132">
        <f>SUM(C11:C62)</f>
        <v>2661</v>
      </c>
      <c r="D63" s="132">
        <f>SUM(D11:D62)</f>
        <v>8294</v>
      </c>
      <c r="E63" s="132">
        <f>SUM(E11:E62)</f>
        <v>149</v>
      </c>
      <c r="F63" s="132">
        <f>SUM(F11:F62)</f>
        <v>429</v>
      </c>
      <c r="G63" s="132">
        <f>SUM(G11:G62)</f>
        <v>11533</v>
      </c>
      <c r="H63" s="132"/>
    </row>
    <row r="65" spans="1:1" x14ac:dyDescent="0.25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8" customFormat="1" ht="15.6" x14ac:dyDescent="0.3">
      <c r="A1" s="67" t="s">
        <v>164</v>
      </c>
    </row>
    <row r="2" spans="1:11" s="68" customFormat="1" ht="15.6" x14ac:dyDescent="0.3">
      <c r="A2" s="67" t="s">
        <v>165</v>
      </c>
    </row>
    <row r="3" spans="1:11" s="68" customFormat="1" ht="15" x14ac:dyDescent="0.25"/>
    <row r="4" spans="1:11" s="68" customFormat="1" ht="15" x14ac:dyDescent="0.25">
      <c r="A4" s="121" t="s">
        <v>127</v>
      </c>
      <c r="B4" s="97" t="e">
        <f>#REF!</f>
        <v>#REF!</v>
      </c>
    </row>
    <row r="5" spans="1:11" s="68" customFormat="1" ht="15" x14ac:dyDescent="0.25">
      <c r="A5" s="121" t="s">
        <v>123</v>
      </c>
      <c r="B5" s="69" t="e">
        <f>B4</f>
        <v>#REF!</v>
      </c>
    </row>
    <row r="7" spans="1:11" ht="15.6" x14ac:dyDescent="0.3">
      <c r="A7" s="232" t="s">
        <v>215</v>
      </c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1" ht="15.6" x14ac:dyDescent="0.3">
      <c r="A8" s="232" t="s">
        <v>199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1" x14ac:dyDescent="0.25">
      <c r="A9" s="235" t="s">
        <v>116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x14ac:dyDescent="0.25">
      <c r="A10" s="130"/>
      <c r="B10" s="130" t="s">
        <v>114</v>
      </c>
      <c r="C10" s="130" t="s">
        <v>216</v>
      </c>
      <c r="D10" s="130" t="s">
        <v>162</v>
      </c>
      <c r="E10" s="130" t="s">
        <v>177</v>
      </c>
      <c r="F10" s="130" t="s">
        <v>166</v>
      </c>
      <c r="G10" s="130" t="s">
        <v>167</v>
      </c>
      <c r="H10" s="130" t="s">
        <v>212</v>
      </c>
      <c r="I10" s="130" t="s">
        <v>163</v>
      </c>
      <c r="J10" s="130" t="s">
        <v>142</v>
      </c>
      <c r="K10" s="130" t="s">
        <v>142</v>
      </c>
    </row>
    <row r="11" spans="1:11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f t="shared" ref="J11:J62" si="0">SUM(C11:I11)</f>
        <v>0</v>
      </c>
      <c r="K11" s="132">
        <f>J11</f>
        <v>0</v>
      </c>
    </row>
    <row r="12" spans="1:11" x14ac:dyDescent="0.25">
      <c r="A12" s="129">
        <v>2</v>
      </c>
      <c r="B12" s="129" t="s">
        <v>132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136</v>
      </c>
      <c r="J12" s="132">
        <f t="shared" si="0"/>
        <v>136</v>
      </c>
      <c r="K12" s="132">
        <f t="shared" ref="K12:K62" si="1">J12+K11</f>
        <v>136</v>
      </c>
    </row>
    <row r="13" spans="1:11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483</v>
      </c>
      <c r="J13" s="132">
        <f t="shared" si="0"/>
        <v>483</v>
      </c>
      <c r="K13" s="132">
        <f t="shared" si="1"/>
        <v>619</v>
      </c>
    </row>
    <row r="14" spans="1:11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515</v>
      </c>
      <c r="J14" s="132">
        <f t="shared" si="0"/>
        <v>515</v>
      </c>
      <c r="K14" s="132">
        <f t="shared" si="1"/>
        <v>1134</v>
      </c>
    </row>
    <row r="15" spans="1:11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f t="shared" si="0"/>
        <v>0</v>
      </c>
      <c r="K15" s="132">
        <f t="shared" si="1"/>
        <v>1134</v>
      </c>
    </row>
    <row r="16" spans="1:11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957</v>
      </c>
      <c r="J16" s="132">
        <f t="shared" si="0"/>
        <v>957</v>
      </c>
      <c r="K16" s="132">
        <f t="shared" si="1"/>
        <v>2091</v>
      </c>
    </row>
    <row r="17" spans="1:11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f t="shared" si="0"/>
        <v>0</v>
      </c>
      <c r="K17" s="132">
        <f t="shared" si="1"/>
        <v>2091</v>
      </c>
    </row>
    <row r="18" spans="1:11" x14ac:dyDescent="0.25">
      <c r="A18" s="129">
        <v>8</v>
      </c>
      <c r="B18" s="129" t="s">
        <v>138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1240</v>
      </c>
      <c r="J18" s="132">
        <f t="shared" si="0"/>
        <v>1240</v>
      </c>
      <c r="K18" s="132">
        <f t="shared" si="1"/>
        <v>3331</v>
      </c>
    </row>
    <row r="19" spans="1:11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f t="shared" si="0"/>
        <v>0</v>
      </c>
      <c r="K19" s="132">
        <f t="shared" si="1"/>
        <v>3331</v>
      </c>
    </row>
    <row r="20" spans="1:11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f t="shared" si="0"/>
        <v>0</v>
      </c>
      <c r="K20" s="132">
        <f t="shared" si="1"/>
        <v>3331</v>
      </c>
    </row>
    <row r="21" spans="1:11" x14ac:dyDescent="0.25">
      <c r="A21" s="129">
        <v>11</v>
      </c>
      <c r="B21" s="129" t="s">
        <v>141</v>
      </c>
      <c r="C21" s="131">
        <v>0</v>
      </c>
      <c r="D21" s="131">
        <v>529</v>
      </c>
      <c r="E21" s="131">
        <v>0</v>
      </c>
      <c r="F21" s="131">
        <v>0</v>
      </c>
      <c r="G21" s="131">
        <v>0</v>
      </c>
      <c r="H21" s="131">
        <v>0</v>
      </c>
      <c r="I21" s="131">
        <v>4993</v>
      </c>
      <c r="J21" s="132">
        <f t="shared" si="0"/>
        <v>5522</v>
      </c>
      <c r="K21" s="132">
        <f t="shared" si="1"/>
        <v>8853</v>
      </c>
    </row>
    <row r="22" spans="1:11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f t="shared" si="0"/>
        <v>0</v>
      </c>
      <c r="K22" s="132">
        <f t="shared" si="1"/>
        <v>8853</v>
      </c>
    </row>
    <row r="23" spans="1:11" x14ac:dyDescent="0.25">
      <c r="A23" s="129">
        <v>13</v>
      </c>
      <c r="B23" s="129" t="s">
        <v>146</v>
      </c>
      <c r="C23" s="131">
        <v>0</v>
      </c>
      <c r="D23" s="131">
        <v>3080</v>
      </c>
      <c r="E23" s="131">
        <v>0</v>
      </c>
      <c r="F23" s="131">
        <v>0</v>
      </c>
      <c r="G23" s="131">
        <v>0</v>
      </c>
      <c r="H23" s="131">
        <v>0</v>
      </c>
      <c r="I23" s="131">
        <v>7</v>
      </c>
      <c r="J23" s="132">
        <f t="shared" si="0"/>
        <v>3087</v>
      </c>
      <c r="K23" s="132">
        <f t="shared" si="1"/>
        <v>11940</v>
      </c>
    </row>
    <row r="24" spans="1:11" x14ac:dyDescent="0.25">
      <c r="A24" s="129">
        <v>14</v>
      </c>
      <c r="B24" s="129" t="s">
        <v>150</v>
      </c>
      <c r="C24" s="131">
        <v>0</v>
      </c>
      <c r="D24" s="131">
        <v>4366</v>
      </c>
      <c r="E24" s="131">
        <v>0</v>
      </c>
      <c r="F24" s="131">
        <v>0</v>
      </c>
      <c r="G24" s="131">
        <v>0</v>
      </c>
      <c r="H24" s="131">
        <v>0</v>
      </c>
      <c r="I24" s="131">
        <v>4183</v>
      </c>
      <c r="J24" s="132">
        <f t="shared" si="0"/>
        <v>8549</v>
      </c>
      <c r="K24" s="132">
        <f t="shared" si="1"/>
        <v>20489</v>
      </c>
    </row>
    <row r="25" spans="1:11" x14ac:dyDescent="0.25">
      <c r="A25" s="129">
        <v>15</v>
      </c>
      <c r="B25" s="129" t="s">
        <v>151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2">
        <f t="shared" si="0"/>
        <v>0</v>
      </c>
      <c r="K25" s="132">
        <f t="shared" si="1"/>
        <v>20489</v>
      </c>
    </row>
    <row r="26" spans="1:11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8116</v>
      </c>
      <c r="J26" s="132">
        <f t="shared" si="0"/>
        <v>8116</v>
      </c>
      <c r="K26" s="132">
        <f t="shared" si="1"/>
        <v>28605</v>
      </c>
    </row>
    <row r="27" spans="1:11" x14ac:dyDescent="0.25">
      <c r="A27" s="129">
        <v>17</v>
      </c>
      <c r="B27" s="129" t="s">
        <v>158</v>
      </c>
      <c r="C27" s="131">
        <v>0</v>
      </c>
      <c r="D27" s="131">
        <v>749</v>
      </c>
      <c r="E27" s="131">
        <v>0</v>
      </c>
      <c r="F27" s="131">
        <v>0</v>
      </c>
      <c r="G27" s="131">
        <v>0</v>
      </c>
      <c r="H27" s="131">
        <v>0</v>
      </c>
      <c r="I27" s="131">
        <v>8613</v>
      </c>
      <c r="J27" s="132">
        <f t="shared" si="0"/>
        <v>9362</v>
      </c>
      <c r="K27" s="132">
        <f t="shared" si="1"/>
        <v>37967</v>
      </c>
    </row>
    <row r="28" spans="1:11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7858</v>
      </c>
      <c r="J28" s="132">
        <f t="shared" si="0"/>
        <v>7858</v>
      </c>
      <c r="K28" s="132">
        <f t="shared" si="1"/>
        <v>45825</v>
      </c>
    </row>
    <row r="29" spans="1:11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5356</v>
      </c>
      <c r="J29" s="132">
        <f t="shared" si="0"/>
        <v>5356</v>
      </c>
      <c r="K29" s="132">
        <f t="shared" si="1"/>
        <v>51181</v>
      </c>
    </row>
    <row r="30" spans="1:11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3639</v>
      </c>
      <c r="J30" s="132">
        <f t="shared" si="0"/>
        <v>3639</v>
      </c>
      <c r="K30" s="132">
        <f t="shared" si="1"/>
        <v>54820</v>
      </c>
    </row>
    <row r="31" spans="1:11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4297</v>
      </c>
      <c r="J31" s="132">
        <f t="shared" si="0"/>
        <v>4297</v>
      </c>
      <c r="K31" s="132">
        <f t="shared" si="1"/>
        <v>59117</v>
      </c>
    </row>
    <row r="32" spans="1:11" x14ac:dyDescent="0.25">
      <c r="A32" s="129">
        <v>22</v>
      </c>
      <c r="B32" s="129" t="s">
        <v>173</v>
      </c>
      <c r="C32" s="131">
        <v>0</v>
      </c>
      <c r="D32" s="131">
        <v>2369</v>
      </c>
      <c r="E32" s="131">
        <v>68</v>
      </c>
      <c r="F32" s="131">
        <v>0</v>
      </c>
      <c r="G32" s="131">
        <v>0</v>
      </c>
      <c r="H32" s="131">
        <v>0</v>
      </c>
      <c r="I32" s="131">
        <v>8532</v>
      </c>
      <c r="J32" s="132">
        <f t="shared" si="0"/>
        <v>10969</v>
      </c>
      <c r="K32" s="132">
        <f t="shared" si="1"/>
        <v>70086</v>
      </c>
    </row>
    <row r="33" spans="1:11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10</v>
      </c>
      <c r="J33" s="132">
        <f t="shared" si="0"/>
        <v>10</v>
      </c>
      <c r="K33" s="132">
        <f t="shared" si="1"/>
        <v>70096</v>
      </c>
    </row>
    <row r="34" spans="1:11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1184</v>
      </c>
      <c r="J34" s="132">
        <f t="shared" si="0"/>
        <v>1184</v>
      </c>
      <c r="K34" s="132">
        <f t="shared" si="1"/>
        <v>71280</v>
      </c>
    </row>
    <row r="35" spans="1:11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3085</v>
      </c>
      <c r="J35" s="132">
        <f t="shared" si="0"/>
        <v>3085</v>
      </c>
      <c r="K35" s="132">
        <f t="shared" si="1"/>
        <v>74365</v>
      </c>
    </row>
    <row r="36" spans="1:11" x14ac:dyDescent="0.25">
      <c r="A36" s="129">
        <v>26</v>
      </c>
      <c r="B36" s="129" t="s">
        <v>178</v>
      </c>
      <c r="C36" s="131">
        <v>0</v>
      </c>
      <c r="D36" s="131">
        <v>1760</v>
      </c>
      <c r="E36" s="131">
        <v>0</v>
      </c>
      <c r="F36" s="131">
        <v>0</v>
      </c>
      <c r="G36" s="131">
        <v>0</v>
      </c>
      <c r="H36" s="131">
        <v>0</v>
      </c>
      <c r="I36" s="131">
        <v>11964</v>
      </c>
      <c r="J36" s="132">
        <f t="shared" si="0"/>
        <v>13724</v>
      </c>
      <c r="K36" s="132">
        <f t="shared" si="1"/>
        <v>88089</v>
      </c>
    </row>
    <row r="37" spans="1:11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1973</v>
      </c>
      <c r="J37" s="132">
        <f t="shared" si="0"/>
        <v>1973</v>
      </c>
      <c r="K37" s="132">
        <f t="shared" si="1"/>
        <v>90062</v>
      </c>
    </row>
    <row r="38" spans="1:11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470</v>
      </c>
      <c r="J38" s="132">
        <f t="shared" si="0"/>
        <v>470</v>
      </c>
      <c r="K38" s="132">
        <f t="shared" si="1"/>
        <v>90532</v>
      </c>
    </row>
    <row r="39" spans="1:11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7009</v>
      </c>
      <c r="J39" s="132">
        <f t="shared" si="0"/>
        <v>7009</v>
      </c>
      <c r="K39" s="132">
        <f t="shared" si="1"/>
        <v>97541</v>
      </c>
    </row>
    <row r="40" spans="1:11" x14ac:dyDescent="0.25">
      <c r="A40" s="129">
        <v>30</v>
      </c>
      <c r="B40" s="129" t="s">
        <v>183</v>
      </c>
      <c r="C40" s="131">
        <v>0</v>
      </c>
      <c r="D40" s="131">
        <v>6175</v>
      </c>
      <c r="E40" s="131">
        <v>0</v>
      </c>
      <c r="F40" s="131">
        <v>0</v>
      </c>
      <c r="G40" s="131">
        <v>0</v>
      </c>
      <c r="H40" s="131">
        <v>0</v>
      </c>
      <c r="I40" s="131">
        <v>10366</v>
      </c>
      <c r="J40" s="132">
        <f t="shared" si="0"/>
        <v>16541</v>
      </c>
      <c r="K40" s="132">
        <f t="shared" si="1"/>
        <v>114082</v>
      </c>
    </row>
    <row r="41" spans="1:11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1769</v>
      </c>
      <c r="J41" s="132">
        <f t="shared" si="0"/>
        <v>1769</v>
      </c>
      <c r="K41" s="132">
        <f t="shared" si="1"/>
        <v>115851</v>
      </c>
    </row>
    <row r="42" spans="1:11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f t="shared" si="0"/>
        <v>0</v>
      </c>
      <c r="K42" s="132">
        <f t="shared" si="1"/>
        <v>115851</v>
      </c>
    </row>
    <row r="43" spans="1:11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2">
        <f t="shared" si="0"/>
        <v>0</v>
      </c>
      <c r="K43" s="132">
        <f t="shared" si="1"/>
        <v>115851</v>
      </c>
    </row>
    <row r="44" spans="1:11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f t="shared" si="0"/>
        <v>0</v>
      </c>
      <c r="K44" s="132">
        <f t="shared" si="1"/>
        <v>115851</v>
      </c>
    </row>
    <row r="45" spans="1:11" x14ac:dyDescent="0.25">
      <c r="A45" s="129" t="s">
        <v>197</v>
      </c>
      <c r="B45" s="129" t="s">
        <v>189</v>
      </c>
      <c r="C45" s="131">
        <v>0</v>
      </c>
      <c r="D45" s="131">
        <v>10368</v>
      </c>
      <c r="E45" s="131">
        <v>0</v>
      </c>
      <c r="F45" s="131">
        <v>0</v>
      </c>
      <c r="G45" s="131">
        <v>300</v>
      </c>
      <c r="H45" s="131">
        <v>0</v>
      </c>
      <c r="I45" s="131">
        <v>13837</v>
      </c>
      <c r="J45" s="132">
        <f t="shared" si="0"/>
        <v>24505</v>
      </c>
      <c r="K45" s="132">
        <f t="shared" si="1"/>
        <v>140356</v>
      </c>
    </row>
    <row r="46" spans="1:11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1688</v>
      </c>
      <c r="J46" s="132">
        <f t="shared" si="0"/>
        <v>1688</v>
      </c>
      <c r="K46" s="132">
        <f t="shared" si="1"/>
        <v>142044</v>
      </c>
    </row>
    <row r="47" spans="1:11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1">
        <v>407</v>
      </c>
      <c r="H47" s="131">
        <v>0</v>
      </c>
      <c r="I47" s="131">
        <v>2125</v>
      </c>
      <c r="J47" s="132">
        <f t="shared" si="0"/>
        <v>2532</v>
      </c>
      <c r="K47" s="132">
        <f t="shared" si="1"/>
        <v>144576</v>
      </c>
    </row>
    <row r="48" spans="1:11" x14ac:dyDescent="0.25">
      <c r="A48" s="129">
        <v>38</v>
      </c>
      <c r="B48" s="129" t="s">
        <v>193</v>
      </c>
      <c r="C48" s="131">
        <v>0</v>
      </c>
      <c r="D48" s="131">
        <v>257</v>
      </c>
      <c r="E48" s="131">
        <v>0</v>
      </c>
      <c r="F48" s="131">
        <v>0</v>
      </c>
      <c r="G48" s="131">
        <v>0</v>
      </c>
      <c r="H48" s="131">
        <v>0</v>
      </c>
      <c r="I48" s="131">
        <v>951</v>
      </c>
      <c r="J48" s="132">
        <f t="shared" si="0"/>
        <v>1208</v>
      </c>
      <c r="K48" s="132">
        <f t="shared" si="1"/>
        <v>145784</v>
      </c>
    </row>
    <row r="49" spans="1:11" x14ac:dyDescent="0.25">
      <c r="A49" s="129">
        <v>39</v>
      </c>
      <c r="B49" s="129" t="s">
        <v>195</v>
      </c>
      <c r="C49" s="131">
        <v>0</v>
      </c>
      <c r="D49" s="131">
        <v>688</v>
      </c>
      <c r="E49" s="131">
        <v>0</v>
      </c>
      <c r="F49" s="131">
        <v>813</v>
      </c>
      <c r="G49" s="131">
        <v>445</v>
      </c>
      <c r="H49" s="131">
        <v>0</v>
      </c>
      <c r="I49" s="131">
        <v>3386</v>
      </c>
      <c r="J49" s="132">
        <f t="shared" si="0"/>
        <v>5332</v>
      </c>
      <c r="K49" s="132">
        <f t="shared" si="1"/>
        <v>151116</v>
      </c>
    </row>
    <row r="50" spans="1:11" x14ac:dyDescent="0.25">
      <c r="A50" s="129">
        <v>40</v>
      </c>
      <c r="B50" s="129" t="s">
        <v>198</v>
      </c>
      <c r="C50" s="131">
        <v>0</v>
      </c>
      <c r="D50" s="131">
        <v>399</v>
      </c>
      <c r="E50" s="131">
        <v>0</v>
      </c>
      <c r="F50" s="131">
        <v>0</v>
      </c>
      <c r="G50" s="131">
        <v>0</v>
      </c>
      <c r="H50" s="131">
        <v>0</v>
      </c>
      <c r="I50" s="131">
        <v>1855</v>
      </c>
      <c r="J50" s="132">
        <f t="shared" si="0"/>
        <v>2254</v>
      </c>
      <c r="K50" s="132">
        <f t="shared" si="1"/>
        <v>153370</v>
      </c>
    </row>
    <row r="51" spans="1:11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464</v>
      </c>
      <c r="G51" s="131">
        <v>0</v>
      </c>
      <c r="H51" s="131">
        <v>0</v>
      </c>
      <c r="I51" s="131">
        <v>3602</v>
      </c>
      <c r="J51" s="132">
        <f t="shared" si="0"/>
        <v>4066</v>
      </c>
      <c r="K51" s="132">
        <f t="shared" si="1"/>
        <v>157436</v>
      </c>
    </row>
    <row r="52" spans="1:11" x14ac:dyDescent="0.25">
      <c r="A52" s="129">
        <v>42</v>
      </c>
      <c r="B52" s="129" t="s">
        <v>202</v>
      </c>
      <c r="C52" s="131">
        <v>0</v>
      </c>
      <c r="D52" s="131">
        <v>203</v>
      </c>
      <c r="E52" s="131">
        <v>0</v>
      </c>
      <c r="F52" s="131">
        <v>105</v>
      </c>
      <c r="G52" s="131">
        <v>0</v>
      </c>
      <c r="H52" s="131">
        <v>0</v>
      </c>
      <c r="I52" s="131">
        <v>4841</v>
      </c>
      <c r="J52" s="132">
        <f t="shared" si="0"/>
        <v>5149</v>
      </c>
      <c r="K52" s="132">
        <f t="shared" si="1"/>
        <v>162585</v>
      </c>
    </row>
    <row r="53" spans="1:11" x14ac:dyDescent="0.25">
      <c r="A53" s="129">
        <v>43</v>
      </c>
      <c r="B53" s="129" t="s">
        <v>204</v>
      </c>
      <c r="C53" s="131">
        <v>0</v>
      </c>
      <c r="D53" s="131">
        <v>1362</v>
      </c>
      <c r="E53" s="131">
        <v>0</v>
      </c>
      <c r="F53" s="131">
        <v>421</v>
      </c>
      <c r="G53" s="131">
        <v>0</v>
      </c>
      <c r="H53" s="131">
        <v>0</v>
      </c>
      <c r="I53" s="131">
        <v>5881</v>
      </c>
      <c r="J53" s="132">
        <f t="shared" si="0"/>
        <v>7664</v>
      </c>
      <c r="K53" s="132">
        <f t="shared" si="1"/>
        <v>170249</v>
      </c>
    </row>
    <row r="54" spans="1:11" x14ac:dyDescent="0.25">
      <c r="A54" s="129">
        <v>44</v>
      </c>
      <c r="B54" s="129" t="s">
        <v>206</v>
      </c>
      <c r="C54" s="131">
        <v>0</v>
      </c>
      <c r="D54" s="131">
        <v>814</v>
      </c>
      <c r="E54" s="131">
        <v>0</v>
      </c>
      <c r="F54" s="131">
        <v>568</v>
      </c>
      <c r="G54" s="131">
        <v>0</v>
      </c>
      <c r="H54" s="131">
        <v>0</v>
      </c>
      <c r="I54" s="131">
        <v>2022</v>
      </c>
      <c r="J54" s="132">
        <f t="shared" si="0"/>
        <v>3404</v>
      </c>
      <c r="K54" s="132">
        <f t="shared" si="1"/>
        <v>173653</v>
      </c>
    </row>
    <row r="55" spans="1:11" x14ac:dyDescent="0.25">
      <c r="A55" s="129">
        <v>45</v>
      </c>
      <c r="B55" s="129" t="s">
        <v>207</v>
      </c>
      <c r="C55" s="131">
        <v>0</v>
      </c>
      <c r="D55" s="131">
        <v>1222</v>
      </c>
      <c r="E55" s="131">
        <v>0</v>
      </c>
      <c r="F55" s="131">
        <v>0</v>
      </c>
      <c r="G55" s="131">
        <v>0</v>
      </c>
      <c r="H55" s="131">
        <v>0</v>
      </c>
      <c r="I55" s="131">
        <v>3664</v>
      </c>
      <c r="J55" s="132">
        <f t="shared" si="0"/>
        <v>4886</v>
      </c>
      <c r="K55" s="132">
        <f t="shared" si="1"/>
        <v>178539</v>
      </c>
    </row>
    <row r="56" spans="1:11" x14ac:dyDescent="0.25">
      <c r="A56" s="129">
        <v>46</v>
      </c>
      <c r="B56" s="129" t="s">
        <v>208</v>
      </c>
      <c r="C56" s="131">
        <v>0</v>
      </c>
      <c r="D56" s="131">
        <v>1421</v>
      </c>
      <c r="E56" s="131">
        <v>0</v>
      </c>
      <c r="F56" s="131">
        <v>0</v>
      </c>
      <c r="G56" s="131">
        <v>0</v>
      </c>
      <c r="H56" s="131">
        <v>0</v>
      </c>
      <c r="I56" s="131">
        <v>4890</v>
      </c>
      <c r="J56" s="132">
        <f t="shared" si="0"/>
        <v>6311</v>
      </c>
      <c r="K56" s="132">
        <f t="shared" si="1"/>
        <v>184850</v>
      </c>
    </row>
    <row r="57" spans="1:11" x14ac:dyDescent="0.25">
      <c r="A57" s="129">
        <v>47</v>
      </c>
      <c r="B57" s="129" t="s">
        <v>209</v>
      </c>
      <c r="C57" s="131">
        <v>0</v>
      </c>
      <c r="D57" s="131">
        <v>867</v>
      </c>
      <c r="E57" s="131">
        <v>0</v>
      </c>
      <c r="F57" s="131">
        <v>0</v>
      </c>
      <c r="G57" s="131">
        <v>0</v>
      </c>
      <c r="H57" s="131">
        <v>0</v>
      </c>
      <c r="I57" s="131">
        <v>3957</v>
      </c>
      <c r="J57" s="132">
        <f t="shared" si="0"/>
        <v>4824</v>
      </c>
      <c r="K57" s="132">
        <f t="shared" si="1"/>
        <v>189674</v>
      </c>
    </row>
    <row r="58" spans="1:11" x14ac:dyDescent="0.25">
      <c r="A58" s="129">
        <v>48</v>
      </c>
      <c r="B58" s="129" t="s">
        <v>211</v>
      </c>
      <c r="C58" s="131">
        <v>0</v>
      </c>
      <c r="D58" s="131">
        <v>1202</v>
      </c>
      <c r="E58" s="131">
        <v>0</v>
      </c>
      <c r="F58" s="131">
        <v>107</v>
      </c>
      <c r="G58" s="131">
        <v>0</v>
      </c>
      <c r="H58" s="131">
        <v>19995</v>
      </c>
      <c r="I58" s="131">
        <v>7825</v>
      </c>
      <c r="J58" s="132">
        <f t="shared" si="0"/>
        <v>29129</v>
      </c>
      <c r="K58" s="132">
        <f t="shared" si="1"/>
        <v>218803</v>
      </c>
    </row>
    <row r="59" spans="1:11" x14ac:dyDescent="0.25">
      <c r="A59" s="129">
        <v>49</v>
      </c>
      <c r="B59" s="129" t="s">
        <v>213</v>
      </c>
      <c r="C59" s="131">
        <v>0</v>
      </c>
      <c r="D59" s="131">
        <v>180</v>
      </c>
      <c r="E59" s="131">
        <v>0</v>
      </c>
      <c r="F59" s="131">
        <v>0</v>
      </c>
      <c r="G59" s="131">
        <v>0</v>
      </c>
      <c r="H59" s="131">
        <v>0</v>
      </c>
      <c r="I59" s="131">
        <v>6217</v>
      </c>
      <c r="J59" s="132">
        <f t="shared" si="0"/>
        <v>6397</v>
      </c>
      <c r="K59" s="132">
        <f t="shared" si="1"/>
        <v>225200</v>
      </c>
    </row>
    <row r="60" spans="1:11" x14ac:dyDescent="0.25">
      <c r="A60" s="129">
        <v>50</v>
      </c>
      <c r="B60" s="129" t="s">
        <v>214</v>
      </c>
      <c r="C60" s="131">
        <v>809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5273</v>
      </c>
      <c r="J60" s="132">
        <f t="shared" si="0"/>
        <v>6082</v>
      </c>
      <c r="K60" s="132">
        <f t="shared" si="1"/>
        <v>231282</v>
      </c>
    </row>
    <row r="61" spans="1:11" x14ac:dyDescent="0.25">
      <c r="A61" s="129">
        <v>51</v>
      </c>
      <c r="B61" s="129" t="s">
        <v>217</v>
      </c>
      <c r="C61" s="131">
        <v>600</v>
      </c>
      <c r="D61" s="131">
        <v>102</v>
      </c>
      <c r="E61" s="131">
        <v>0</v>
      </c>
      <c r="F61" s="131">
        <v>0</v>
      </c>
      <c r="G61" s="131">
        <v>0</v>
      </c>
      <c r="H61" s="131">
        <v>0</v>
      </c>
      <c r="I61" s="131">
        <v>2001</v>
      </c>
      <c r="J61" s="132">
        <f t="shared" si="0"/>
        <v>2703</v>
      </c>
      <c r="K61" s="132">
        <f t="shared" si="1"/>
        <v>233985</v>
      </c>
    </row>
    <row r="62" spans="1:11" x14ac:dyDescent="0.25">
      <c r="A62" s="129">
        <v>52</v>
      </c>
      <c r="B62" s="129" t="s">
        <v>218</v>
      </c>
      <c r="C62" s="131">
        <v>902</v>
      </c>
      <c r="D62" s="131">
        <v>116</v>
      </c>
      <c r="E62" s="131">
        <v>0</v>
      </c>
      <c r="F62" s="131">
        <v>0</v>
      </c>
      <c r="G62" s="131">
        <v>0</v>
      </c>
      <c r="H62" s="131">
        <v>0</v>
      </c>
      <c r="I62" s="131">
        <v>3772</v>
      </c>
      <c r="J62" s="132">
        <f t="shared" si="0"/>
        <v>4790</v>
      </c>
      <c r="K62" s="132">
        <f t="shared" si="1"/>
        <v>238775</v>
      </c>
    </row>
    <row r="63" spans="1:11" x14ac:dyDescent="0.25">
      <c r="A63" s="129" t="s">
        <v>116</v>
      </c>
      <c r="B63" s="129" t="s">
        <v>117</v>
      </c>
      <c r="C63" s="132">
        <f t="shared" ref="C63:I63" si="2">SUM(C11:C62)</f>
        <v>2311</v>
      </c>
      <c r="D63" s="132">
        <f t="shared" si="2"/>
        <v>38229</v>
      </c>
      <c r="E63" s="132">
        <f t="shared" si="2"/>
        <v>68</v>
      </c>
      <c r="F63" s="132">
        <f t="shared" si="2"/>
        <v>2478</v>
      </c>
      <c r="G63" s="132">
        <f t="shared" si="2"/>
        <v>1152</v>
      </c>
      <c r="H63" s="132">
        <f t="shared" si="2"/>
        <v>19995</v>
      </c>
      <c r="I63" s="132">
        <f t="shared" si="2"/>
        <v>174542</v>
      </c>
      <c r="J63" s="132">
        <f>SUM(J11:J62)</f>
        <v>238775</v>
      </c>
      <c r="K63" s="132"/>
    </row>
    <row r="65" spans="1:1" x14ac:dyDescent="0.25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8" customFormat="1" ht="15.6" x14ac:dyDescent="0.3">
      <c r="A1" s="67" t="s">
        <v>168</v>
      </c>
    </row>
    <row r="2" spans="1:8" s="68" customFormat="1" ht="15.6" x14ac:dyDescent="0.3">
      <c r="A2" s="67" t="s">
        <v>169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205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200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190</v>
      </c>
      <c r="D10" s="130" t="s">
        <v>166</v>
      </c>
      <c r="E10" s="130" t="s">
        <v>167</v>
      </c>
      <c r="F10" s="130" t="s">
        <v>163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0</v>
      </c>
      <c r="D12" s="131">
        <v>87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1115</v>
      </c>
      <c r="F14" s="131">
        <v>912</v>
      </c>
      <c r="G14" s="132">
        <f t="shared" si="0"/>
        <v>2027</v>
      </c>
      <c r="H14" s="132">
        <f t="shared" si="1"/>
        <v>2114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290</v>
      </c>
      <c r="F15" s="131">
        <v>0</v>
      </c>
      <c r="G15" s="132">
        <f t="shared" si="0"/>
        <v>290</v>
      </c>
      <c r="H15" s="132">
        <f t="shared" si="1"/>
        <v>2404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426</v>
      </c>
      <c r="F16" s="131">
        <v>0</v>
      </c>
      <c r="G16" s="132">
        <f t="shared" si="0"/>
        <v>426</v>
      </c>
      <c r="H16" s="132">
        <f t="shared" si="1"/>
        <v>2830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71</v>
      </c>
      <c r="F17" s="131">
        <v>0</v>
      </c>
      <c r="G17" s="132">
        <f t="shared" si="0"/>
        <v>71</v>
      </c>
      <c r="H17" s="132">
        <f t="shared" si="1"/>
        <v>2901</v>
      </c>
    </row>
    <row r="18" spans="1:8" x14ac:dyDescent="0.25">
      <c r="A18" s="129">
        <v>8</v>
      </c>
      <c r="B18" s="129" t="s">
        <v>138</v>
      </c>
      <c r="C18" s="131">
        <v>0</v>
      </c>
      <c r="D18" s="131">
        <v>131</v>
      </c>
      <c r="E18" s="131">
        <v>1096</v>
      </c>
      <c r="F18" s="131">
        <v>0</v>
      </c>
      <c r="G18" s="132">
        <f t="shared" si="0"/>
        <v>1227</v>
      </c>
      <c r="H18" s="132">
        <f t="shared" si="1"/>
        <v>4128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4128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4128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4128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4128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4128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4128</v>
      </c>
    </row>
    <row r="25" spans="1:8" x14ac:dyDescent="0.25">
      <c r="A25" s="129">
        <v>15</v>
      </c>
      <c r="B25" s="129" t="s">
        <v>151</v>
      </c>
      <c r="C25" s="131">
        <v>0</v>
      </c>
      <c r="D25" s="131">
        <v>39</v>
      </c>
      <c r="E25" s="131">
        <v>0</v>
      </c>
      <c r="F25" s="131">
        <v>0</v>
      </c>
      <c r="G25" s="132">
        <f t="shared" si="0"/>
        <v>39</v>
      </c>
      <c r="H25" s="132">
        <f t="shared" si="1"/>
        <v>4167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4167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97</v>
      </c>
      <c r="F27" s="131">
        <v>0</v>
      </c>
      <c r="G27" s="132">
        <f t="shared" si="0"/>
        <v>97</v>
      </c>
      <c r="H27" s="132">
        <f t="shared" si="1"/>
        <v>4264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4264</v>
      </c>
    </row>
    <row r="29" spans="1:8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2">
        <f t="shared" si="0"/>
        <v>0</v>
      </c>
      <c r="H29" s="132">
        <f t="shared" si="1"/>
        <v>4264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4264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4264</v>
      </c>
    </row>
    <row r="32" spans="1:8" x14ac:dyDescent="0.25">
      <c r="A32" s="129">
        <v>22</v>
      </c>
      <c r="B32" s="129" t="s">
        <v>173</v>
      </c>
      <c r="C32" s="131">
        <v>0</v>
      </c>
      <c r="D32" s="131">
        <v>210</v>
      </c>
      <c r="E32" s="131">
        <v>0</v>
      </c>
      <c r="F32" s="131">
        <v>0</v>
      </c>
      <c r="G32" s="132">
        <f t="shared" si="0"/>
        <v>210</v>
      </c>
      <c r="H32" s="132">
        <f t="shared" si="1"/>
        <v>4474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129</v>
      </c>
      <c r="E33" s="131">
        <v>0</v>
      </c>
      <c r="F33" s="131">
        <v>0</v>
      </c>
      <c r="G33" s="132">
        <f t="shared" si="0"/>
        <v>129</v>
      </c>
      <c r="H33" s="132">
        <f t="shared" si="1"/>
        <v>4603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4603</v>
      </c>
    </row>
    <row r="35" spans="1:8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2">
        <f t="shared" si="0"/>
        <v>0</v>
      </c>
      <c r="H35" s="132">
        <f t="shared" si="1"/>
        <v>4603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298</v>
      </c>
      <c r="E36" s="131">
        <v>0</v>
      </c>
      <c r="F36" s="131">
        <v>0</v>
      </c>
      <c r="G36" s="132">
        <f t="shared" si="0"/>
        <v>298</v>
      </c>
      <c r="H36" s="132">
        <f t="shared" si="1"/>
        <v>4901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4901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4901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4901</v>
      </c>
    </row>
    <row r="40" spans="1:8" x14ac:dyDescent="0.25">
      <c r="A40" s="129">
        <v>30</v>
      </c>
      <c r="B40" s="129" t="s">
        <v>183</v>
      </c>
      <c r="C40" s="131">
        <v>724</v>
      </c>
      <c r="D40" s="131">
        <v>136</v>
      </c>
      <c r="E40" s="131">
        <v>0</v>
      </c>
      <c r="F40" s="131">
        <v>0</v>
      </c>
      <c r="G40" s="132">
        <f t="shared" si="0"/>
        <v>860</v>
      </c>
      <c r="H40" s="132">
        <f t="shared" si="1"/>
        <v>5761</v>
      </c>
    </row>
    <row r="41" spans="1:8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5761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5761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5761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5761</v>
      </c>
    </row>
    <row r="45" spans="1:8" x14ac:dyDescent="0.25">
      <c r="A45" s="129" t="s">
        <v>197</v>
      </c>
      <c r="B45" s="129" t="s">
        <v>189</v>
      </c>
      <c r="C45" s="131">
        <v>0</v>
      </c>
      <c r="D45" s="131">
        <v>374</v>
      </c>
      <c r="E45" s="131">
        <v>0</v>
      </c>
      <c r="F45" s="131">
        <v>3000</v>
      </c>
      <c r="G45" s="132">
        <f t="shared" si="0"/>
        <v>3374</v>
      </c>
      <c r="H45" s="132">
        <f t="shared" si="1"/>
        <v>9135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466</v>
      </c>
      <c r="G46" s="132">
        <f t="shared" si="0"/>
        <v>466</v>
      </c>
      <c r="H46" s="132">
        <f t="shared" si="1"/>
        <v>9601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1212</v>
      </c>
      <c r="G47" s="132">
        <f t="shared" si="0"/>
        <v>1212</v>
      </c>
      <c r="H47" s="132">
        <f t="shared" si="1"/>
        <v>10813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1327</v>
      </c>
      <c r="G48" s="132">
        <f t="shared" si="0"/>
        <v>1327</v>
      </c>
      <c r="H48" s="132">
        <f t="shared" si="1"/>
        <v>12140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141</v>
      </c>
      <c r="E49" s="131">
        <v>0</v>
      </c>
      <c r="F49" s="131">
        <v>1081</v>
      </c>
      <c r="G49" s="132">
        <f t="shared" si="0"/>
        <v>1222</v>
      </c>
      <c r="H49" s="132">
        <f t="shared" si="1"/>
        <v>13362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0</v>
      </c>
      <c r="F50" s="131">
        <v>641</v>
      </c>
      <c r="G50" s="132">
        <f t="shared" si="0"/>
        <v>641</v>
      </c>
      <c r="H50" s="132">
        <f t="shared" si="1"/>
        <v>14003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14003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14003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135</v>
      </c>
      <c r="E53" s="131">
        <v>0</v>
      </c>
      <c r="F53" s="131">
        <v>0</v>
      </c>
      <c r="G53" s="132">
        <f t="shared" si="0"/>
        <v>135</v>
      </c>
      <c r="H53" s="132">
        <f t="shared" si="1"/>
        <v>14138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14138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0</v>
      </c>
      <c r="G55" s="132">
        <f t="shared" si="0"/>
        <v>0</v>
      </c>
      <c r="H55" s="132">
        <f t="shared" si="1"/>
        <v>14138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14138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14138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14</v>
      </c>
      <c r="E58" s="131">
        <v>429</v>
      </c>
      <c r="F58" s="131">
        <v>721</v>
      </c>
      <c r="G58" s="132">
        <f t="shared" si="0"/>
        <v>1164</v>
      </c>
      <c r="H58" s="132">
        <f t="shared" si="1"/>
        <v>15302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15302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15302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15302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15302</v>
      </c>
    </row>
    <row r="63" spans="1:8" x14ac:dyDescent="0.25">
      <c r="A63" s="129" t="s">
        <v>116</v>
      </c>
      <c r="B63" s="129" t="s">
        <v>117</v>
      </c>
      <c r="C63" s="132">
        <f>SUM(C11:C62)</f>
        <v>724</v>
      </c>
      <c r="D63" s="132">
        <f>SUM(D11:D62)</f>
        <v>1694</v>
      </c>
      <c r="E63" s="132">
        <f>SUM(E11:E62)</f>
        <v>3524</v>
      </c>
      <c r="F63" s="132">
        <f>SUM(F11:F62)</f>
        <v>9360</v>
      </c>
      <c r="G63" s="132">
        <f>SUM(G11:G62)</f>
        <v>15302</v>
      </c>
      <c r="H63" s="132"/>
    </row>
    <row r="65" spans="1:1" x14ac:dyDescent="0.25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6" t="s">
        <v>153</v>
      </c>
      <c r="B1" s="117"/>
      <c r="C1" s="117"/>
      <c r="D1" s="117"/>
      <c r="E1" s="117"/>
    </row>
    <row r="2" spans="1:7" ht="14.4" x14ac:dyDescent="0.3">
      <c r="A2" s="117"/>
      <c r="B2" s="117"/>
      <c r="C2" s="117"/>
      <c r="D2" s="117"/>
      <c r="E2" s="117"/>
    </row>
    <row r="3" spans="1:7" ht="14.4" x14ac:dyDescent="0.3">
      <c r="A3" s="118" t="s">
        <v>127</v>
      </c>
      <c r="B3" s="119" t="e">
        <f>#REF!</f>
        <v>#REF!</v>
      </c>
      <c r="C3" s="117"/>
      <c r="D3" s="117"/>
      <c r="E3" s="117"/>
    </row>
    <row r="4" spans="1:7" ht="14.4" x14ac:dyDescent="0.3">
      <c r="A4" s="118" t="s">
        <v>123</v>
      </c>
      <c r="B4" s="120" t="e">
        <f>B3</f>
        <v>#REF!</v>
      </c>
      <c r="C4" s="117"/>
      <c r="D4" s="117"/>
      <c r="E4" s="117"/>
    </row>
    <row r="5" spans="1:7" ht="14.4" x14ac:dyDescent="0.3">
      <c r="A5" s="117"/>
      <c r="B5" s="117"/>
      <c r="C5" s="117"/>
      <c r="D5" s="117"/>
      <c r="E5" s="117"/>
    </row>
    <row r="6" spans="1:7" ht="15.6" x14ac:dyDescent="0.3">
      <c r="A6" s="232" t="s">
        <v>184</v>
      </c>
      <c r="B6" s="233"/>
      <c r="C6" s="233"/>
      <c r="D6" s="233"/>
      <c r="E6" s="233"/>
      <c r="F6" s="233"/>
      <c r="G6" s="234"/>
    </row>
    <row r="7" spans="1:7" ht="15.6" x14ac:dyDescent="0.3">
      <c r="A7" s="232" t="s">
        <v>144</v>
      </c>
      <c r="B7" s="233"/>
      <c r="C7" s="233"/>
      <c r="D7" s="233"/>
      <c r="E7" s="233"/>
      <c r="F7" s="233"/>
      <c r="G7" s="234"/>
    </row>
    <row r="8" spans="1:7" x14ac:dyDescent="0.25">
      <c r="A8" s="235" t="s">
        <v>116</v>
      </c>
      <c r="B8" s="236"/>
      <c r="C8" s="236"/>
      <c r="D8" s="236"/>
      <c r="E8" s="236"/>
      <c r="F8" s="236"/>
      <c r="G8" s="237"/>
    </row>
    <row r="9" spans="1:7" x14ac:dyDescent="0.25">
      <c r="A9" s="130"/>
      <c r="B9" s="130" t="s">
        <v>114</v>
      </c>
      <c r="C9" s="130" t="s">
        <v>115</v>
      </c>
      <c r="D9" s="130" t="s">
        <v>145</v>
      </c>
      <c r="E9" s="130" t="s">
        <v>182</v>
      </c>
      <c r="F9" s="130" t="s">
        <v>220</v>
      </c>
      <c r="G9" s="130" t="s">
        <v>220</v>
      </c>
    </row>
    <row r="10" spans="1:7" x14ac:dyDescent="0.25">
      <c r="A10" s="129">
        <v>1</v>
      </c>
      <c r="B10" s="129" t="s">
        <v>125</v>
      </c>
      <c r="C10" s="131">
        <v>0</v>
      </c>
      <c r="D10" s="131">
        <v>0</v>
      </c>
      <c r="E10" s="131">
        <v>0</v>
      </c>
      <c r="F10" s="132">
        <f t="shared" ref="F10:F61" si="0">SUM(C10:E10)</f>
        <v>0</v>
      </c>
      <c r="G10" s="132">
        <f>F10</f>
        <v>0</v>
      </c>
    </row>
    <row r="11" spans="1:7" x14ac:dyDescent="0.25">
      <c r="A11" s="129">
        <v>2</v>
      </c>
      <c r="B11" s="129" t="s">
        <v>132</v>
      </c>
      <c r="C11" s="131">
        <v>0</v>
      </c>
      <c r="D11" s="131">
        <v>0</v>
      </c>
      <c r="E11" s="131">
        <v>0</v>
      </c>
      <c r="F11" s="132">
        <f t="shared" si="0"/>
        <v>0</v>
      </c>
      <c r="G11" s="132">
        <f t="shared" ref="G11:G61" si="1">F11+G10</f>
        <v>0</v>
      </c>
    </row>
    <row r="12" spans="1:7" x14ac:dyDescent="0.25">
      <c r="A12" s="129">
        <v>3</v>
      </c>
      <c r="B12" s="129" t="s">
        <v>133</v>
      </c>
      <c r="C12" s="131">
        <v>22313</v>
      </c>
      <c r="D12" s="131">
        <v>0</v>
      </c>
      <c r="E12" s="131">
        <v>0</v>
      </c>
      <c r="F12" s="132">
        <f t="shared" si="0"/>
        <v>22313</v>
      </c>
      <c r="G12" s="132">
        <f t="shared" si="1"/>
        <v>22313</v>
      </c>
    </row>
    <row r="13" spans="1:7" x14ac:dyDescent="0.25">
      <c r="A13" s="129">
        <v>4</v>
      </c>
      <c r="B13" s="129" t="s">
        <v>134</v>
      </c>
      <c r="C13" s="131">
        <v>0</v>
      </c>
      <c r="D13" s="131">
        <v>0</v>
      </c>
      <c r="E13" s="131">
        <v>0</v>
      </c>
      <c r="F13" s="132">
        <f t="shared" si="0"/>
        <v>0</v>
      </c>
      <c r="G13" s="132">
        <f t="shared" si="1"/>
        <v>22313</v>
      </c>
    </row>
    <row r="14" spans="1:7" x14ac:dyDescent="0.25">
      <c r="A14" s="129">
        <v>5</v>
      </c>
      <c r="B14" s="129" t="s">
        <v>135</v>
      </c>
      <c r="C14" s="131">
        <v>0</v>
      </c>
      <c r="D14" s="131">
        <v>0</v>
      </c>
      <c r="E14" s="131">
        <v>0</v>
      </c>
      <c r="F14" s="132">
        <f t="shared" si="0"/>
        <v>0</v>
      </c>
      <c r="G14" s="132">
        <f t="shared" si="1"/>
        <v>22313</v>
      </c>
    </row>
    <row r="15" spans="1:7" x14ac:dyDescent="0.25">
      <c r="A15" s="129">
        <v>6</v>
      </c>
      <c r="B15" s="129" t="s">
        <v>136</v>
      </c>
      <c r="C15" s="131">
        <v>0</v>
      </c>
      <c r="D15" s="131">
        <v>0</v>
      </c>
      <c r="E15" s="131">
        <v>0</v>
      </c>
      <c r="F15" s="132">
        <f t="shared" si="0"/>
        <v>0</v>
      </c>
      <c r="G15" s="132">
        <f t="shared" si="1"/>
        <v>22313</v>
      </c>
    </row>
    <row r="16" spans="1:7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2">
        <f t="shared" si="0"/>
        <v>0</v>
      </c>
      <c r="G16" s="132">
        <f t="shared" si="1"/>
        <v>22313</v>
      </c>
    </row>
    <row r="17" spans="1:7" x14ac:dyDescent="0.25">
      <c r="A17" s="129">
        <v>8</v>
      </c>
      <c r="B17" s="129" t="s">
        <v>138</v>
      </c>
      <c r="C17" s="131">
        <v>0</v>
      </c>
      <c r="D17" s="131">
        <v>0</v>
      </c>
      <c r="E17" s="131">
        <v>0</v>
      </c>
      <c r="F17" s="132">
        <f t="shared" si="0"/>
        <v>0</v>
      </c>
      <c r="G17" s="132">
        <f t="shared" si="1"/>
        <v>22313</v>
      </c>
    </row>
    <row r="18" spans="1:7" x14ac:dyDescent="0.25">
      <c r="A18" s="129">
        <v>9</v>
      </c>
      <c r="B18" s="129" t="s">
        <v>139</v>
      </c>
      <c r="C18" s="131">
        <v>1646</v>
      </c>
      <c r="D18" s="131">
        <v>0</v>
      </c>
      <c r="E18" s="131">
        <v>0</v>
      </c>
      <c r="F18" s="132">
        <f t="shared" si="0"/>
        <v>1646</v>
      </c>
      <c r="G18" s="132">
        <f t="shared" si="1"/>
        <v>23959</v>
      </c>
    </row>
    <row r="19" spans="1:7" x14ac:dyDescent="0.25">
      <c r="A19" s="129">
        <v>10</v>
      </c>
      <c r="B19" s="129" t="s">
        <v>140</v>
      </c>
      <c r="C19" s="131">
        <v>42211</v>
      </c>
      <c r="D19" s="131">
        <v>13807</v>
      </c>
      <c r="E19" s="131">
        <v>0</v>
      </c>
      <c r="F19" s="132">
        <f t="shared" si="0"/>
        <v>56018</v>
      </c>
      <c r="G19" s="132">
        <f t="shared" si="1"/>
        <v>79977</v>
      </c>
    </row>
    <row r="20" spans="1:7" x14ac:dyDescent="0.25">
      <c r="A20" s="129">
        <v>11</v>
      </c>
      <c r="B20" s="129" t="s">
        <v>141</v>
      </c>
      <c r="C20" s="131">
        <v>18983</v>
      </c>
      <c r="D20" s="131">
        <v>0</v>
      </c>
      <c r="E20" s="131">
        <v>0</v>
      </c>
      <c r="F20" s="132">
        <f t="shared" si="0"/>
        <v>18983</v>
      </c>
      <c r="G20" s="132">
        <f t="shared" si="1"/>
        <v>98960</v>
      </c>
    </row>
    <row r="21" spans="1:7" x14ac:dyDescent="0.25">
      <c r="A21" s="129">
        <v>12</v>
      </c>
      <c r="B21" s="129" t="s">
        <v>143</v>
      </c>
      <c r="C21" s="131">
        <v>31496</v>
      </c>
      <c r="D21" s="131">
        <v>600</v>
      </c>
      <c r="E21" s="131">
        <v>0</v>
      </c>
      <c r="F21" s="132">
        <f t="shared" si="0"/>
        <v>32096</v>
      </c>
      <c r="G21" s="132">
        <f t="shared" si="1"/>
        <v>131056</v>
      </c>
    </row>
    <row r="22" spans="1:7" x14ac:dyDescent="0.25">
      <c r="A22" s="129">
        <v>13</v>
      </c>
      <c r="B22" s="129" t="s">
        <v>146</v>
      </c>
      <c r="C22" s="131">
        <v>7745</v>
      </c>
      <c r="D22" s="131">
        <v>15815</v>
      </c>
      <c r="E22" s="131">
        <v>0</v>
      </c>
      <c r="F22" s="132">
        <f t="shared" si="0"/>
        <v>23560</v>
      </c>
      <c r="G22" s="132">
        <f t="shared" si="1"/>
        <v>154616</v>
      </c>
    </row>
    <row r="23" spans="1:7" x14ac:dyDescent="0.25">
      <c r="A23" s="129">
        <v>14</v>
      </c>
      <c r="B23" s="129" t="s">
        <v>150</v>
      </c>
      <c r="C23" s="131">
        <v>17262</v>
      </c>
      <c r="D23" s="131">
        <v>0</v>
      </c>
      <c r="E23" s="131">
        <v>0</v>
      </c>
      <c r="F23" s="132">
        <f t="shared" si="0"/>
        <v>17262</v>
      </c>
      <c r="G23" s="132">
        <f t="shared" si="1"/>
        <v>171878</v>
      </c>
    </row>
    <row r="24" spans="1:7" x14ac:dyDescent="0.25">
      <c r="A24" s="129">
        <v>15</v>
      </c>
      <c r="B24" s="129" t="s">
        <v>151</v>
      </c>
      <c r="C24" s="131">
        <v>0</v>
      </c>
      <c r="D24" s="131">
        <v>2894</v>
      </c>
      <c r="E24" s="131">
        <v>0</v>
      </c>
      <c r="F24" s="132">
        <f t="shared" si="0"/>
        <v>2894</v>
      </c>
      <c r="G24" s="132">
        <f t="shared" si="1"/>
        <v>174772</v>
      </c>
    </row>
    <row r="25" spans="1:7" x14ac:dyDescent="0.25">
      <c r="A25" s="129">
        <v>16</v>
      </c>
      <c r="B25" s="129" t="s">
        <v>157</v>
      </c>
      <c r="C25" s="131">
        <v>28877</v>
      </c>
      <c r="D25" s="131">
        <v>13605</v>
      </c>
      <c r="E25" s="131">
        <v>0</v>
      </c>
      <c r="F25" s="132">
        <f t="shared" si="0"/>
        <v>42482</v>
      </c>
      <c r="G25" s="132">
        <f t="shared" si="1"/>
        <v>217254</v>
      </c>
    </row>
    <row r="26" spans="1:7" x14ac:dyDescent="0.25">
      <c r="A26" s="129">
        <v>17</v>
      </c>
      <c r="B26" s="129" t="s">
        <v>158</v>
      </c>
      <c r="C26" s="131">
        <v>58091</v>
      </c>
      <c r="D26" s="131">
        <v>0</v>
      </c>
      <c r="E26" s="131">
        <v>0</v>
      </c>
      <c r="F26" s="132">
        <f t="shared" si="0"/>
        <v>58091</v>
      </c>
      <c r="G26" s="132">
        <f t="shared" si="1"/>
        <v>275345</v>
      </c>
    </row>
    <row r="27" spans="1:7" x14ac:dyDescent="0.25">
      <c r="A27" s="129">
        <v>18</v>
      </c>
      <c r="B27" s="129" t="s">
        <v>159</v>
      </c>
      <c r="C27" s="131">
        <v>14049</v>
      </c>
      <c r="D27" s="131">
        <v>4542</v>
      </c>
      <c r="E27" s="131">
        <v>0</v>
      </c>
      <c r="F27" s="132">
        <f t="shared" si="0"/>
        <v>18591</v>
      </c>
      <c r="G27" s="132">
        <f t="shared" si="1"/>
        <v>293936</v>
      </c>
    </row>
    <row r="28" spans="1:7" x14ac:dyDescent="0.25">
      <c r="A28" s="129">
        <v>19</v>
      </c>
      <c r="B28" s="129" t="s">
        <v>170</v>
      </c>
      <c r="C28" s="131">
        <v>65488</v>
      </c>
      <c r="D28" s="131">
        <v>8978</v>
      </c>
      <c r="E28" s="131">
        <v>0</v>
      </c>
      <c r="F28" s="132">
        <f t="shared" si="0"/>
        <v>74466</v>
      </c>
      <c r="G28" s="132">
        <f t="shared" si="1"/>
        <v>368402</v>
      </c>
    </row>
    <row r="29" spans="1:7" x14ac:dyDescent="0.25">
      <c r="A29" s="129">
        <v>20</v>
      </c>
      <c r="B29" s="129" t="s">
        <v>171</v>
      </c>
      <c r="C29" s="131">
        <v>0</v>
      </c>
      <c r="D29" s="131">
        <v>0</v>
      </c>
      <c r="E29" s="131">
        <v>0</v>
      </c>
      <c r="F29" s="132">
        <f t="shared" si="0"/>
        <v>0</v>
      </c>
      <c r="G29" s="132">
        <f t="shared" si="1"/>
        <v>368402</v>
      </c>
    </row>
    <row r="30" spans="1:7" x14ac:dyDescent="0.25">
      <c r="A30" s="129">
        <v>21</v>
      </c>
      <c r="B30" s="129" t="s">
        <v>172</v>
      </c>
      <c r="C30" s="131">
        <v>0</v>
      </c>
      <c r="D30" s="131">
        <v>17504</v>
      </c>
      <c r="E30" s="131">
        <v>0</v>
      </c>
      <c r="F30" s="132">
        <f t="shared" si="0"/>
        <v>17504</v>
      </c>
      <c r="G30" s="132">
        <f t="shared" si="1"/>
        <v>385906</v>
      </c>
    </row>
    <row r="31" spans="1:7" x14ac:dyDescent="0.25">
      <c r="A31" s="129">
        <v>22</v>
      </c>
      <c r="B31" s="129" t="s">
        <v>173</v>
      </c>
      <c r="C31" s="131">
        <v>33320</v>
      </c>
      <c r="D31" s="131">
        <v>0</v>
      </c>
      <c r="E31" s="131">
        <v>0</v>
      </c>
      <c r="F31" s="132">
        <f t="shared" si="0"/>
        <v>33320</v>
      </c>
      <c r="G31" s="132">
        <f t="shared" si="1"/>
        <v>419226</v>
      </c>
    </row>
    <row r="32" spans="1:7" x14ac:dyDescent="0.25">
      <c r="A32" s="129">
        <v>23</v>
      </c>
      <c r="B32" s="129" t="s">
        <v>174</v>
      </c>
      <c r="C32" s="131">
        <v>20565</v>
      </c>
      <c r="D32" s="131">
        <v>0</v>
      </c>
      <c r="E32" s="131">
        <v>0</v>
      </c>
      <c r="F32" s="132">
        <f t="shared" si="0"/>
        <v>20565</v>
      </c>
      <c r="G32" s="132">
        <f t="shared" si="1"/>
        <v>439791</v>
      </c>
    </row>
    <row r="33" spans="1:7" x14ac:dyDescent="0.25">
      <c r="A33" s="129">
        <v>24</v>
      </c>
      <c r="B33" s="129" t="s">
        <v>175</v>
      </c>
      <c r="C33" s="131">
        <v>6544</v>
      </c>
      <c r="D33" s="131">
        <v>0</v>
      </c>
      <c r="E33" s="131">
        <v>0</v>
      </c>
      <c r="F33" s="132">
        <f t="shared" si="0"/>
        <v>6544</v>
      </c>
      <c r="G33" s="132">
        <f t="shared" si="1"/>
        <v>446335</v>
      </c>
    </row>
    <row r="34" spans="1:7" x14ac:dyDescent="0.25">
      <c r="A34" s="129">
        <v>25</v>
      </c>
      <c r="B34" s="129" t="s">
        <v>176</v>
      </c>
      <c r="C34" s="131">
        <v>28262</v>
      </c>
      <c r="D34" s="131">
        <v>0</v>
      </c>
      <c r="E34" s="131">
        <v>0</v>
      </c>
      <c r="F34" s="132">
        <f t="shared" si="0"/>
        <v>28262</v>
      </c>
      <c r="G34" s="132">
        <f t="shared" si="1"/>
        <v>474597</v>
      </c>
    </row>
    <row r="35" spans="1:7" x14ac:dyDescent="0.25">
      <c r="A35" s="129">
        <v>26</v>
      </c>
      <c r="B35" s="129" t="s">
        <v>178</v>
      </c>
      <c r="C35" s="131">
        <v>36656</v>
      </c>
      <c r="D35" s="131">
        <v>20660</v>
      </c>
      <c r="E35" s="131">
        <v>0</v>
      </c>
      <c r="F35" s="132">
        <f t="shared" si="0"/>
        <v>57316</v>
      </c>
      <c r="G35" s="132">
        <f t="shared" si="1"/>
        <v>531913</v>
      </c>
    </row>
    <row r="36" spans="1:7" x14ac:dyDescent="0.25">
      <c r="A36" s="129">
        <v>27</v>
      </c>
      <c r="B36" s="129" t="s">
        <v>179</v>
      </c>
      <c r="C36" s="131">
        <v>57153</v>
      </c>
      <c r="D36" s="131">
        <v>5843</v>
      </c>
      <c r="E36" s="131">
        <v>0</v>
      </c>
      <c r="F36" s="132">
        <f t="shared" si="0"/>
        <v>62996</v>
      </c>
      <c r="G36" s="132">
        <f t="shared" si="1"/>
        <v>594909</v>
      </c>
    </row>
    <row r="37" spans="1:7" x14ac:dyDescent="0.25">
      <c r="A37" s="129">
        <v>28</v>
      </c>
      <c r="B37" s="129" t="s">
        <v>180</v>
      </c>
      <c r="C37" s="131">
        <v>18023</v>
      </c>
      <c r="D37" s="131">
        <v>0</v>
      </c>
      <c r="E37" s="131">
        <v>0</v>
      </c>
      <c r="F37" s="132">
        <f t="shared" si="0"/>
        <v>18023</v>
      </c>
      <c r="G37" s="132">
        <f t="shared" si="1"/>
        <v>612932</v>
      </c>
    </row>
    <row r="38" spans="1:7" x14ac:dyDescent="0.25">
      <c r="A38" s="129">
        <v>29</v>
      </c>
      <c r="B38" s="129" t="s">
        <v>181</v>
      </c>
      <c r="C38" s="131">
        <v>49972</v>
      </c>
      <c r="D38" s="131">
        <v>0</v>
      </c>
      <c r="E38" s="131">
        <v>2482</v>
      </c>
      <c r="F38" s="132">
        <f t="shared" si="0"/>
        <v>52454</v>
      </c>
      <c r="G38" s="132">
        <f t="shared" si="1"/>
        <v>665386</v>
      </c>
    </row>
    <row r="39" spans="1:7" x14ac:dyDescent="0.25">
      <c r="A39" s="129">
        <v>30</v>
      </c>
      <c r="B39" s="129" t="s">
        <v>183</v>
      </c>
      <c r="C39" s="131">
        <v>28646</v>
      </c>
      <c r="D39" s="131">
        <v>11475</v>
      </c>
      <c r="E39" s="131">
        <v>7805</v>
      </c>
      <c r="F39" s="132">
        <f t="shared" si="0"/>
        <v>47926</v>
      </c>
      <c r="G39" s="132">
        <f t="shared" si="1"/>
        <v>713312</v>
      </c>
    </row>
    <row r="40" spans="1:7" x14ac:dyDescent="0.25">
      <c r="A40" s="129">
        <v>31</v>
      </c>
      <c r="B40" s="129" t="s">
        <v>185</v>
      </c>
      <c r="C40" s="131">
        <v>32601</v>
      </c>
      <c r="D40" s="131">
        <v>9267</v>
      </c>
      <c r="E40" s="131">
        <v>0</v>
      </c>
      <c r="F40" s="132">
        <f t="shared" si="0"/>
        <v>41868</v>
      </c>
      <c r="G40" s="132">
        <f t="shared" si="1"/>
        <v>755180</v>
      </c>
    </row>
    <row r="41" spans="1:7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2">
        <f t="shared" si="0"/>
        <v>0</v>
      </c>
      <c r="G41" s="132">
        <f t="shared" si="1"/>
        <v>755180</v>
      </c>
    </row>
    <row r="42" spans="1:7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2">
        <f t="shared" si="0"/>
        <v>0</v>
      </c>
      <c r="G42" s="132">
        <f t="shared" si="1"/>
        <v>755180</v>
      </c>
    </row>
    <row r="43" spans="1:7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2">
        <f t="shared" si="0"/>
        <v>0</v>
      </c>
      <c r="G43" s="132">
        <f t="shared" si="1"/>
        <v>755180</v>
      </c>
    </row>
    <row r="44" spans="1:7" x14ac:dyDescent="0.25">
      <c r="A44" s="129">
        <v>35</v>
      </c>
      <c r="B44" s="129" t="s">
        <v>189</v>
      </c>
      <c r="C44" s="131">
        <v>17521</v>
      </c>
      <c r="D44" s="131">
        <v>26061</v>
      </c>
      <c r="E44" s="131">
        <v>0</v>
      </c>
      <c r="F44" s="132">
        <f t="shared" si="0"/>
        <v>43582</v>
      </c>
      <c r="G44" s="132">
        <f t="shared" si="1"/>
        <v>798762</v>
      </c>
    </row>
    <row r="45" spans="1:7" x14ac:dyDescent="0.25">
      <c r="A45" s="129">
        <v>36</v>
      </c>
      <c r="B45" s="129" t="s">
        <v>191</v>
      </c>
      <c r="C45" s="131">
        <v>4145</v>
      </c>
      <c r="D45" s="131">
        <v>0</v>
      </c>
      <c r="E45" s="131">
        <v>0</v>
      </c>
      <c r="F45" s="132">
        <f t="shared" si="0"/>
        <v>4145</v>
      </c>
      <c r="G45" s="132">
        <f t="shared" si="1"/>
        <v>802907</v>
      </c>
    </row>
    <row r="46" spans="1:7" x14ac:dyDescent="0.25">
      <c r="A46" s="129">
        <v>37</v>
      </c>
      <c r="B46" s="129" t="s">
        <v>192</v>
      </c>
      <c r="C46" s="131">
        <v>26531</v>
      </c>
      <c r="D46" s="131">
        <v>0</v>
      </c>
      <c r="E46" s="131">
        <v>0</v>
      </c>
      <c r="F46" s="132">
        <f t="shared" si="0"/>
        <v>26531</v>
      </c>
      <c r="G46" s="132">
        <f t="shared" si="1"/>
        <v>829438</v>
      </c>
    </row>
    <row r="47" spans="1:7" x14ac:dyDescent="0.25">
      <c r="A47" s="129">
        <v>38</v>
      </c>
      <c r="B47" s="129" t="s">
        <v>193</v>
      </c>
      <c r="C47" s="131">
        <v>0</v>
      </c>
      <c r="D47" s="131">
        <v>0</v>
      </c>
      <c r="E47" s="131">
        <v>0</v>
      </c>
      <c r="F47" s="132">
        <f t="shared" si="0"/>
        <v>0</v>
      </c>
      <c r="G47" s="132">
        <f t="shared" si="1"/>
        <v>829438</v>
      </c>
    </row>
    <row r="48" spans="1:7" x14ac:dyDescent="0.25">
      <c r="A48" s="129">
        <v>39</v>
      </c>
      <c r="B48" s="129" t="s">
        <v>195</v>
      </c>
      <c r="C48" s="131">
        <v>17090</v>
      </c>
      <c r="D48" s="131">
        <v>4307</v>
      </c>
      <c r="E48" s="131">
        <v>0</v>
      </c>
      <c r="F48" s="132">
        <f t="shared" si="0"/>
        <v>21397</v>
      </c>
      <c r="G48" s="132">
        <f t="shared" si="1"/>
        <v>850835</v>
      </c>
    </row>
    <row r="49" spans="1:7" x14ac:dyDescent="0.25">
      <c r="A49" s="129">
        <v>40</v>
      </c>
      <c r="B49" s="129" t="s">
        <v>198</v>
      </c>
      <c r="C49" s="131">
        <v>0</v>
      </c>
      <c r="D49" s="131">
        <v>16740</v>
      </c>
      <c r="E49" s="131">
        <v>0</v>
      </c>
      <c r="F49" s="132">
        <f t="shared" si="0"/>
        <v>16740</v>
      </c>
      <c r="G49" s="132">
        <f t="shared" si="1"/>
        <v>867575</v>
      </c>
    </row>
    <row r="50" spans="1:7" x14ac:dyDescent="0.25">
      <c r="A50" s="129">
        <v>41</v>
      </c>
      <c r="B50" s="129" t="s">
        <v>201</v>
      </c>
      <c r="C50" s="131">
        <v>0</v>
      </c>
      <c r="D50" s="131">
        <v>3590</v>
      </c>
      <c r="E50" s="131">
        <v>0</v>
      </c>
      <c r="F50" s="132">
        <f t="shared" si="0"/>
        <v>3590</v>
      </c>
      <c r="G50" s="132">
        <f t="shared" si="1"/>
        <v>871165</v>
      </c>
    </row>
    <row r="51" spans="1:7" x14ac:dyDescent="0.25">
      <c r="A51" s="129">
        <v>42</v>
      </c>
      <c r="B51" s="129" t="s">
        <v>202</v>
      </c>
      <c r="C51" s="131">
        <v>0</v>
      </c>
      <c r="D51" s="131">
        <v>0</v>
      </c>
      <c r="E51" s="131">
        <v>0</v>
      </c>
      <c r="F51" s="132">
        <f t="shared" si="0"/>
        <v>0</v>
      </c>
      <c r="G51" s="132">
        <f t="shared" si="1"/>
        <v>871165</v>
      </c>
    </row>
    <row r="52" spans="1:7" x14ac:dyDescent="0.25">
      <c r="A52" s="129">
        <v>43</v>
      </c>
      <c r="B52" s="129" t="s">
        <v>204</v>
      </c>
      <c r="C52" s="131">
        <v>0</v>
      </c>
      <c r="D52" s="131">
        <v>0</v>
      </c>
      <c r="E52" s="131">
        <v>0</v>
      </c>
      <c r="F52" s="132">
        <f t="shared" si="0"/>
        <v>0</v>
      </c>
      <c r="G52" s="132">
        <f t="shared" si="1"/>
        <v>871165</v>
      </c>
    </row>
    <row r="53" spans="1:7" x14ac:dyDescent="0.25">
      <c r="A53" s="129">
        <v>44</v>
      </c>
      <c r="B53" s="129" t="s">
        <v>206</v>
      </c>
      <c r="C53" s="131">
        <v>0</v>
      </c>
      <c r="D53" s="131">
        <v>0</v>
      </c>
      <c r="E53" s="131">
        <v>0</v>
      </c>
      <c r="F53" s="132">
        <f t="shared" si="0"/>
        <v>0</v>
      </c>
      <c r="G53" s="132">
        <f t="shared" si="1"/>
        <v>871165</v>
      </c>
    </row>
    <row r="54" spans="1:7" x14ac:dyDescent="0.25">
      <c r="A54" s="129">
        <v>45</v>
      </c>
      <c r="B54" s="129" t="s">
        <v>207</v>
      </c>
      <c r="C54" s="131">
        <v>0</v>
      </c>
      <c r="D54" s="131">
        <v>0</v>
      </c>
      <c r="E54" s="131">
        <v>0</v>
      </c>
      <c r="F54" s="132">
        <f t="shared" si="0"/>
        <v>0</v>
      </c>
      <c r="G54" s="132">
        <f t="shared" si="1"/>
        <v>871165</v>
      </c>
    </row>
    <row r="55" spans="1:7" x14ac:dyDescent="0.25">
      <c r="A55" s="129">
        <v>46</v>
      </c>
      <c r="B55" s="129" t="s">
        <v>208</v>
      </c>
      <c r="C55" s="131">
        <v>16455</v>
      </c>
      <c r="D55" s="131">
        <v>0</v>
      </c>
      <c r="E55" s="131">
        <v>0</v>
      </c>
      <c r="F55" s="132">
        <f t="shared" si="0"/>
        <v>16455</v>
      </c>
      <c r="G55" s="132">
        <f t="shared" si="1"/>
        <v>887620</v>
      </c>
    </row>
    <row r="56" spans="1:7" x14ac:dyDescent="0.25">
      <c r="A56" s="129">
        <v>47</v>
      </c>
      <c r="B56" s="129" t="s">
        <v>209</v>
      </c>
      <c r="C56" s="131">
        <v>560</v>
      </c>
      <c r="D56" s="131">
        <v>10652</v>
      </c>
      <c r="E56" s="131">
        <v>0</v>
      </c>
      <c r="F56" s="132">
        <f t="shared" si="0"/>
        <v>11212</v>
      </c>
      <c r="G56" s="132">
        <f t="shared" si="1"/>
        <v>898832</v>
      </c>
    </row>
    <row r="57" spans="1:7" x14ac:dyDescent="0.25">
      <c r="A57" s="129">
        <v>48</v>
      </c>
      <c r="B57" s="129" t="s">
        <v>211</v>
      </c>
      <c r="C57" s="131">
        <v>0</v>
      </c>
      <c r="D57" s="131">
        <v>14068</v>
      </c>
      <c r="E57" s="131">
        <v>0</v>
      </c>
      <c r="F57" s="132">
        <f t="shared" si="0"/>
        <v>14068</v>
      </c>
      <c r="G57" s="132">
        <f t="shared" si="1"/>
        <v>912900</v>
      </c>
    </row>
    <row r="58" spans="1:7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2">
        <f t="shared" si="0"/>
        <v>0</v>
      </c>
      <c r="G58" s="132">
        <f t="shared" si="1"/>
        <v>912900</v>
      </c>
    </row>
    <row r="59" spans="1:7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2">
        <f t="shared" si="0"/>
        <v>0</v>
      </c>
      <c r="G59" s="132">
        <f t="shared" si="1"/>
        <v>912900</v>
      </c>
    </row>
    <row r="60" spans="1:7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2">
        <f t="shared" si="0"/>
        <v>0</v>
      </c>
      <c r="G60" s="132">
        <f t="shared" si="1"/>
        <v>912900</v>
      </c>
    </row>
    <row r="61" spans="1:7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2">
        <f t="shared" si="0"/>
        <v>0</v>
      </c>
      <c r="G61" s="132">
        <f t="shared" si="1"/>
        <v>912900</v>
      </c>
    </row>
    <row r="62" spans="1:7" x14ac:dyDescent="0.25">
      <c r="A62" s="129" t="s">
        <v>116</v>
      </c>
      <c r="B62" s="129" t="s">
        <v>117</v>
      </c>
      <c r="C62" s="132">
        <f>SUM(C10:C61)</f>
        <v>702205</v>
      </c>
      <c r="D62" s="132">
        <f>SUM(D10:D61)</f>
        <v>200408</v>
      </c>
      <c r="E62" s="132">
        <f>SUM(E10:E61)</f>
        <v>10287</v>
      </c>
      <c r="F62" s="132">
        <f>SUM(F10:F61)</f>
        <v>912900</v>
      </c>
      <c r="G62" s="132"/>
    </row>
    <row r="64" spans="1:7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6" t="s">
        <v>152</v>
      </c>
      <c r="B1" s="117"/>
      <c r="C1" s="117"/>
      <c r="D1" s="117"/>
      <c r="E1" s="117"/>
      <c r="F1" s="117"/>
    </row>
    <row r="2" spans="1:8" ht="14.4" x14ac:dyDescent="0.3">
      <c r="A2" s="117"/>
      <c r="B2" s="117"/>
      <c r="C2" s="117"/>
      <c r="D2" s="117"/>
      <c r="E2" s="117"/>
      <c r="F2" s="117"/>
    </row>
    <row r="3" spans="1:8" ht="14.4" x14ac:dyDescent="0.3">
      <c r="A3" s="118" t="s">
        <v>127</v>
      </c>
      <c r="B3" s="119" t="e">
        <f>#REF!</f>
        <v>#REF!</v>
      </c>
      <c r="C3" s="117"/>
      <c r="D3" s="117"/>
      <c r="E3" s="117"/>
      <c r="F3" s="117"/>
    </row>
    <row r="4" spans="1:8" ht="14.4" x14ac:dyDescent="0.3">
      <c r="A4" s="118" t="s">
        <v>123</v>
      </c>
      <c r="B4" s="120" t="e">
        <f>B3</f>
        <v>#REF!</v>
      </c>
      <c r="C4" s="117"/>
      <c r="D4" s="117"/>
      <c r="E4" s="117"/>
      <c r="F4" s="117"/>
    </row>
    <row r="5" spans="1:8" ht="14.4" x14ac:dyDescent="0.3">
      <c r="A5" s="117"/>
      <c r="B5" s="117"/>
      <c r="C5" s="117"/>
      <c r="D5" s="117"/>
      <c r="E5" s="117"/>
      <c r="F5" s="117"/>
    </row>
    <row r="6" spans="1:8" ht="15.6" x14ac:dyDescent="0.3">
      <c r="A6" s="232" t="s">
        <v>196</v>
      </c>
      <c r="B6" s="233"/>
      <c r="C6" s="233"/>
      <c r="D6" s="233"/>
      <c r="E6" s="233"/>
      <c r="F6" s="233"/>
      <c r="G6" s="233"/>
      <c r="H6" s="234"/>
    </row>
    <row r="7" spans="1:8" ht="15.6" x14ac:dyDescent="0.3">
      <c r="A7" s="232" t="s">
        <v>124</v>
      </c>
      <c r="B7" s="233"/>
      <c r="C7" s="233"/>
      <c r="D7" s="233"/>
      <c r="E7" s="233"/>
      <c r="F7" s="233"/>
      <c r="G7" s="233"/>
      <c r="H7" s="234"/>
    </row>
    <row r="8" spans="1:8" x14ac:dyDescent="0.25">
      <c r="A8" s="235" t="s">
        <v>116</v>
      </c>
      <c r="B8" s="236"/>
      <c r="C8" s="236"/>
      <c r="D8" s="236"/>
      <c r="E8" s="236"/>
      <c r="F8" s="236"/>
      <c r="G8" s="236"/>
      <c r="H8" s="237"/>
    </row>
    <row r="9" spans="1:8" x14ac:dyDescent="0.25">
      <c r="A9" s="130"/>
      <c r="B9" s="130" t="s">
        <v>114</v>
      </c>
      <c r="C9" s="130" t="s">
        <v>118</v>
      </c>
      <c r="D9" s="130" t="s">
        <v>115</v>
      </c>
      <c r="E9" s="130" t="s">
        <v>145</v>
      </c>
      <c r="F9" s="130" t="s">
        <v>119</v>
      </c>
      <c r="G9" s="130" t="s">
        <v>220</v>
      </c>
      <c r="H9" s="130" t="s">
        <v>220</v>
      </c>
    </row>
    <row r="10" spans="1:8" x14ac:dyDescent="0.25">
      <c r="A10" s="129">
        <v>1</v>
      </c>
      <c r="B10" s="129" t="s">
        <v>125</v>
      </c>
      <c r="C10" s="131">
        <v>16689</v>
      </c>
      <c r="D10" s="131">
        <v>7161</v>
      </c>
      <c r="E10" s="131">
        <v>0</v>
      </c>
      <c r="F10" s="131">
        <v>2460</v>
      </c>
      <c r="G10" s="132">
        <f t="shared" ref="G10:G61" si="0">SUM(C10:F10)</f>
        <v>26310</v>
      </c>
      <c r="H10" s="132">
        <f>G10</f>
        <v>26310</v>
      </c>
    </row>
    <row r="11" spans="1:8" x14ac:dyDescent="0.25">
      <c r="A11" s="129">
        <v>2</v>
      </c>
      <c r="B11" s="129" t="s">
        <v>132</v>
      </c>
      <c r="C11" s="131">
        <v>48801</v>
      </c>
      <c r="D11" s="131">
        <v>7109</v>
      </c>
      <c r="E11" s="131">
        <v>0</v>
      </c>
      <c r="F11" s="131">
        <v>0</v>
      </c>
      <c r="G11" s="132">
        <f t="shared" si="0"/>
        <v>55910</v>
      </c>
      <c r="H11" s="132">
        <f t="shared" ref="H11:H61" si="1">G11+H10</f>
        <v>82220</v>
      </c>
    </row>
    <row r="12" spans="1:8" x14ac:dyDescent="0.25">
      <c r="A12" s="129">
        <v>3</v>
      </c>
      <c r="B12" s="129" t="s">
        <v>133</v>
      </c>
      <c r="C12" s="131">
        <v>28425</v>
      </c>
      <c r="D12" s="131">
        <v>0</v>
      </c>
      <c r="E12" s="131">
        <v>0</v>
      </c>
      <c r="F12" s="131">
        <v>0</v>
      </c>
      <c r="G12" s="132">
        <f t="shared" si="0"/>
        <v>28425</v>
      </c>
      <c r="H12" s="132">
        <f t="shared" si="1"/>
        <v>110645</v>
      </c>
    </row>
    <row r="13" spans="1:8" x14ac:dyDescent="0.25">
      <c r="A13" s="129">
        <v>4</v>
      </c>
      <c r="B13" s="129" t="s">
        <v>134</v>
      </c>
      <c r="C13" s="131">
        <v>3802</v>
      </c>
      <c r="D13" s="131">
        <v>32831</v>
      </c>
      <c r="E13" s="131">
        <v>0</v>
      </c>
      <c r="F13" s="131">
        <v>0</v>
      </c>
      <c r="G13" s="132">
        <f t="shared" si="0"/>
        <v>36633</v>
      </c>
      <c r="H13" s="132">
        <f t="shared" si="1"/>
        <v>147278</v>
      </c>
    </row>
    <row r="14" spans="1:8" x14ac:dyDescent="0.25">
      <c r="A14" s="129">
        <v>5</v>
      </c>
      <c r="B14" s="129" t="s">
        <v>135</v>
      </c>
      <c r="C14" s="131">
        <v>8237</v>
      </c>
      <c r="D14" s="131">
        <v>0</v>
      </c>
      <c r="E14" s="131">
        <v>0</v>
      </c>
      <c r="F14" s="131">
        <v>15184</v>
      </c>
      <c r="G14" s="132">
        <f t="shared" si="0"/>
        <v>23421</v>
      </c>
      <c r="H14" s="132">
        <f t="shared" si="1"/>
        <v>170699</v>
      </c>
    </row>
    <row r="15" spans="1:8" x14ac:dyDescent="0.25">
      <c r="A15" s="129">
        <v>6</v>
      </c>
      <c r="B15" s="129" t="s">
        <v>136</v>
      </c>
      <c r="C15" s="131">
        <v>24500</v>
      </c>
      <c r="D15" s="131">
        <v>25096</v>
      </c>
      <c r="E15" s="131">
        <v>0</v>
      </c>
      <c r="F15" s="131">
        <v>13698</v>
      </c>
      <c r="G15" s="132">
        <f t="shared" si="0"/>
        <v>63294</v>
      </c>
      <c r="H15" s="132">
        <f t="shared" si="1"/>
        <v>233993</v>
      </c>
    </row>
    <row r="16" spans="1:8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233993</v>
      </c>
    </row>
    <row r="17" spans="1:8" x14ac:dyDescent="0.25">
      <c r="A17" s="129">
        <v>8</v>
      </c>
      <c r="B17" s="129" t="s">
        <v>138</v>
      </c>
      <c r="C17" s="131">
        <v>23166</v>
      </c>
      <c r="D17" s="131">
        <v>0</v>
      </c>
      <c r="E17" s="131">
        <v>0</v>
      </c>
      <c r="F17" s="131">
        <v>0</v>
      </c>
      <c r="G17" s="132">
        <f t="shared" si="0"/>
        <v>23166</v>
      </c>
      <c r="H17" s="132">
        <f t="shared" si="1"/>
        <v>257159</v>
      </c>
    </row>
    <row r="18" spans="1:8" x14ac:dyDescent="0.25">
      <c r="A18" s="129">
        <v>9</v>
      </c>
      <c r="B18" s="129" t="s">
        <v>139</v>
      </c>
      <c r="C18" s="131">
        <v>0</v>
      </c>
      <c r="D18" s="131">
        <v>8153</v>
      </c>
      <c r="E18" s="131">
        <v>0</v>
      </c>
      <c r="F18" s="131">
        <v>6490</v>
      </c>
      <c r="G18" s="132">
        <f t="shared" si="0"/>
        <v>14643</v>
      </c>
      <c r="H18" s="132">
        <f t="shared" si="1"/>
        <v>271802</v>
      </c>
    </row>
    <row r="19" spans="1:8" x14ac:dyDescent="0.25">
      <c r="A19" s="129">
        <v>10</v>
      </c>
      <c r="B19" s="129" t="s">
        <v>140</v>
      </c>
      <c r="C19" s="131">
        <v>0</v>
      </c>
      <c r="D19" s="131">
        <v>3599</v>
      </c>
      <c r="E19" s="131">
        <v>0</v>
      </c>
      <c r="F19" s="131">
        <v>0</v>
      </c>
      <c r="G19" s="132">
        <f t="shared" si="0"/>
        <v>3599</v>
      </c>
      <c r="H19" s="132">
        <f t="shared" si="1"/>
        <v>275401</v>
      </c>
    </row>
    <row r="20" spans="1:8" x14ac:dyDescent="0.25">
      <c r="A20" s="129">
        <v>11</v>
      </c>
      <c r="B20" s="129" t="s">
        <v>141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275401</v>
      </c>
    </row>
    <row r="21" spans="1:8" x14ac:dyDescent="0.25">
      <c r="A21" s="129">
        <v>12</v>
      </c>
      <c r="B21" s="129" t="s">
        <v>143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275401</v>
      </c>
    </row>
    <row r="22" spans="1:8" x14ac:dyDescent="0.25">
      <c r="A22" s="129">
        <v>13</v>
      </c>
      <c r="B22" s="129" t="s">
        <v>146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275401</v>
      </c>
    </row>
    <row r="23" spans="1:8" x14ac:dyDescent="0.25">
      <c r="A23" s="129">
        <v>14</v>
      </c>
      <c r="B23" s="129" t="s">
        <v>150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275401</v>
      </c>
    </row>
    <row r="24" spans="1:8" x14ac:dyDescent="0.25">
      <c r="A24" s="129">
        <v>15</v>
      </c>
      <c r="B24" s="129" t="s">
        <v>151</v>
      </c>
      <c r="C24" s="131">
        <v>22821</v>
      </c>
      <c r="D24" s="131">
        <v>16985</v>
      </c>
      <c r="E24" s="131">
        <v>0</v>
      </c>
      <c r="F24" s="131">
        <v>0</v>
      </c>
      <c r="G24" s="132">
        <f t="shared" si="0"/>
        <v>39806</v>
      </c>
      <c r="H24" s="132">
        <f t="shared" si="1"/>
        <v>315207</v>
      </c>
    </row>
    <row r="25" spans="1:8" x14ac:dyDescent="0.25">
      <c r="A25" s="129">
        <v>16</v>
      </c>
      <c r="B25" s="129" t="s">
        <v>157</v>
      </c>
      <c r="C25" s="131">
        <v>18060</v>
      </c>
      <c r="D25" s="131">
        <v>14850</v>
      </c>
      <c r="E25" s="131">
        <v>0</v>
      </c>
      <c r="F25" s="131">
        <v>14821</v>
      </c>
      <c r="G25" s="132">
        <f t="shared" si="0"/>
        <v>47731</v>
      </c>
      <c r="H25" s="132">
        <f t="shared" si="1"/>
        <v>362938</v>
      </c>
    </row>
    <row r="26" spans="1:8" x14ac:dyDescent="0.25">
      <c r="A26" s="129">
        <v>17</v>
      </c>
      <c r="B26" s="129" t="s">
        <v>158</v>
      </c>
      <c r="C26" s="131">
        <v>60484</v>
      </c>
      <c r="D26" s="131">
        <v>34868</v>
      </c>
      <c r="E26" s="131">
        <v>0</v>
      </c>
      <c r="F26" s="131">
        <v>0</v>
      </c>
      <c r="G26" s="132">
        <f t="shared" si="0"/>
        <v>95352</v>
      </c>
      <c r="H26" s="132">
        <f t="shared" si="1"/>
        <v>458290</v>
      </c>
    </row>
    <row r="27" spans="1:8" x14ac:dyDescent="0.25">
      <c r="A27" s="129">
        <v>18</v>
      </c>
      <c r="B27" s="129" t="s">
        <v>159</v>
      </c>
      <c r="C27" s="131">
        <v>18892</v>
      </c>
      <c r="D27" s="131">
        <v>22736</v>
      </c>
      <c r="E27" s="131">
        <v>0</v>
      </c>
      <c r="F27" s="131">
        <v>15057</v>
      </c>
      <c r="G27" s="132">
        <f t="shared" si="0"/>
        <v>56685</v>
      </c>
      <c r="H27" s="132">
        <f t="shared" si="1"/>
        <v>514975</v>
      </c>
    </row>
    <row r="28" spans="1:8" x14ac:dyDescent="0.25">
      <c r="A28" s="129">
        <v>19</v>
      </c>
      <c r="B28" s="129" t="s">
        <v>170</v>
      </c>
      <c r="C28" s="131">
        <v>40656</v>
      </c>
      <c r="D28" s="131">
        <v>0</v>
      </c>
      <c r="E28" s="131">
        <v>0</v>
      </c>
      <c r="F28" s="131">
        <v>27402</v>
      </c>
      <c r="G28" s="132">
        <f t="shared" si="0"/>
        <v>68058</v>
      </c>
      <c r="H28" s="132">
        <f t="shared" si="1"/>
        <v>583033</v>
      </c>
    </row>
    <row r="29" spans="1:8" x14ac:dyDescent="0.25">
      <c r="A29" s="129">
        <v>20</v>
      </c>
      <c r="B29" s="129" t="s">
        <v>171</v>
      </c>
      <c r="C29" s="131">
        <v>13362</v>
      </c>
      <c r="D29" s="131">
        <v>46141</v>
      </c>
      <c r="E29" s="131">
        <v>0</v>
      </c>
      <c r="F29" s="131">
        <v>0</v>
      </c>
      <c r="G29" s="132">
        <f t="shared" si="0"/>
        <v>59503</v>
      </c>
      <c r="H29" s="132">
        <f t="shared" si="1"/>
        <v>642536</v>
      </c>
    </row>
    <row r="30" spans="1:8" x14ac:dyDescent="0.25">
      <c r="A30" s="129">
        <v>21</v>
      </c>
      <c r="B30" s="129" t="s">
        <v>172</v>
      </c>
      <c r="C30" s="131">
        <v>0</v>
      </c>
      <c r="D30" s="131">
        <v>60114</v>
      </c>
      <c r="E30" s="131">
        <v>0</v>
      </c>
      <c r="F30" s="131">
        <v>0</v>
      </c>
      <c r="G30" s="132">
        <f t="shared" si="0"/>
        <v>60114</v>
      </c>
      <c r="H30" s="132">
        <f t="shared" si="1"/>
        <v>702650</v>
      </c>
    </row>
    <row r="31" spans="1:8" x14ac:dyDescent="0.25">
      <c r="A31" s="129">
        <v>22</v>
      </c>
      <c r="B31" s="129" t="s">
        <v>173</v>
      </c>
      <c r="C31" s="131">
        <v>2706</v>
      </c>
      <c r="D31" s="131">
        <v>11845</v>
      </c>
      <c r="E31" s="131">
        <v>11031</v>
      </c>
      <c r="F31" s="131">
        <v>0</v>
      </c>
      <c r="G31" s="132">
        <f t="shared" si="0"/>
        <v>25582</v>
      </c>
      <c r="H31" s="132">
        <f t="shared" si="1"/>
        <v>728232</v>
      </c>
    </row>
    <row r="32" spans="1:8" x14ac:dyDescent="0.25">
      <c r="A32" s="129">
        <v>23</v>
      </c>
      <c r="B32" s="129" t="s">
        <v>174</v>
      </c>
      <c r="C32" s="131">
        <v>20852</v>
      </c>
      <c r="D32" s="131">
        <v>0</v>
      </c>
      <c r="E32" s="131">
        <v>0</v>
      </c>
      <c r="F32" s="131">
        <v>2260</v>
      </c>
      <c r="G32" s="132">
        <f t="shared" si="0"/>
        <v>23112</v>
      </c>
      <c r="H32" s="132">
        <f t="shared" si="1"/>
        <v>751344</v>
      </c>
    </row>
    <row r="33" spans="1:8" x14ac:dyDescent="0.25">
      <c r="A33" s="129">
        <v>24</v>
      </c>
      <c r="B33" s="129" t="s">
        <v>175</v>
      </c>
      <c r="C33" s="131">
        <v>30974</v>
      </c>
      <c r="D33" s="131">
        <v>10657</v>
      </c>
      <c r="E33" s="131">
        <v>0</v>
      </c>
      <c r="F33" s="131">
        <v>1505</v>
      </c>
      <c r="G33" s="132">
        <f t="shared" si="0"/>
        <v>43136</v>
      </c>
      <c r="H33" s="132">
        <f t="shared" si="1"/>
        <v>794480</v>
      </c>
    </row>
    <row r="34" spans="1:8" x14ac:dyDescent="0.25">
      <c r="A34" s="129">
        <v>25</v>
      </c>
      <c r="B34" s="129" t="s">
        <v>176</v>
      </c>
      <c r="C34" s="131">
        <v>13435</v>
      </c>
      <c r="D34" s="131">
        <v>43304</v>
      </c>
      <c r="E34" s="131">
        <v>0</v>
      </c>
      <c r="F34" s="131">
        <v>0</v>
      </c>
      <c r="G34" s="132">
        <f t="shared" si="0"/>
        <v>56739</v>
      </c>
      <c r="H34" s="132">
        <f t="shared" si="1"/>
        <v>851219</v>
      </c>
    </row>
    <row r="35" spans="1:8" x14ac:dyDescent="0.25">
      <c r="A35" s="129">
        <v>26</v>
      </c>
      <c r="B35" s="129" t="s">
        <v>178</v>
      </c>
      <c r="C35" s="131">
        <v>18381</v>
      </c>
      <c r="D35" s="131">
        <v>27913</v>
      </c>
      <c r="E35" s="131">
        <v>0</v>
      </c>
      <c r="F35" s="131">
        <v>29300</v>
      </c>
      <c r="G35" s="132">
        <f t="shared" si="0"/>
        <v>75594</v>
      </c>
      <c r="H35" s="132">
        <f t="shared" si="1"/>
        <v>926813</v>
      </c>
    </row>
    <row r="36" spans="1:8" x14ac:dyDescent="0.25">
      <c r="A36" s="129">
        <v>27</v>
      </c>
      <c r="B36" s="129" t="s">
        <v>179</v>
      </c>
      <c r="C36" s="131">
        <v>0</v>
      </c>
      <c r="D36" s="131">
        <v>12570</v>
      </c>
      <c r="E36" s="131">
        <v>0</v>
      </c>
      <c r="F36" s="131">
        <v>0</v>
      </c>
      <c r="G36" s="132">
        <f t="shared" si="0"/>
        <v>12570</v>
      </c>
      <c r="H36" s="132">
        <f t="shared" si="1"/>
        <v>939383</v>
      </c>
    </row>
    <row r="37" spans="1:8" x14ac:dyDescent="0.25">
      <c r="A37" s="129">
        <v>28</v>
      </c>
      <c r="B37" s="129" t="s">
        <v>180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939383</v>
      </c>
    </row>
    <row r="38" spans="1:8" x14ac:dyDescent="0.25">
      <c r="A38" s="129">
        <v>29</v>
      </c>
      <c r="B38" s="129" t="s">
        <v>181</v>
      </c>
      <c r="C38" s="131">
        <v>15222</v>
      </c>
      <c r="D38" s="131">
        <v>11597</v>
      </c>
      <c r="E38" s="131">
        <v>0</v>
      </c>
      <c r="F38" s="131">
        <v>0</v>
      </c>
      <c r="G38" s="132">
        <f t="shared" si="0"/>
        <v>26819</v>
      </c>
      <c r="H38" s="132">
        <f t="shared" si="1"/>
        <v>966202</v>
      </c>
    </row>
    <row r="39" spans="1:8" x14ac:dyDescent="0.25">
      <c r="A39" s="129">
        <v>30</v>
      </c>
      <c r="B39" s="129" t="s">
        <v>183</v>
      </c>
      <c r="C39" s="131">
        <v>22149</v>
      </c>
      <c r="D39" s="131">
        <v>0</v>
      </c>
      <c r="E39" s="131">
        <v>0</v>
      </c>
      <c r="F39" s="131">
        <v>0</v>
      </c>
      <c r="G39" s="132">
        <f t="shared" si="0"/>
        <v>22149</v>
      </c>
      <c r="H39" s="132">
        <f t="shared" si="1"/>
        <v>988351</v>
      </c>
    </row>
    <row r="40" spans="1:8" x14ac:dyDescent="0.25">
      <c r="A40" s="129">
        <v>31</v>
      </c>
      <c r="B40" s="129" t="s">
        <v>185</v>
      </c>
      <c r="C40" s="131">
        <v>32938</v>
      </c>
      <c r="D40" s="131">
        <v>18638</v>
      </c>
      <c r="E40" s="131">
        <v>0</v>
      </c>
      <c r="F40" s="131">
        <v>0</v>
      </c>
      <c r="G40" s="132">
        <f t="shared" si="0"/>
        <v>51576</v>
      </c>
      <c r="H40" s="132">
        <f t="shared" si="1"/>
        <v>1039927</v>
      </c>
    </row>
    <row r="41" spans="1:8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1039927</v>
      </c>
    </row>
    <row r="42" spans="1:8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1039927</v>
      </c>
    </row>
    <row r="43" spans="1:8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1039927</v>
      </c>
    </row>
    <row r="44" spans="1:8" x14ac:dyDescent="0.25">
      <c r="A44" s="129">
        <v>35</v>
      </c>
      <c r="B44" s="129" t="s">
        <v>189</v>
      </c>
      <c r="C44" s="131">
        <v>42072</v>
      </c>
      <c r="D44" s="131">
        <v>32352</v>
      </c>
      <c r="E44" s="131">
        <v>0</v>
      </c>
      <c r="F44" s="131">
        <v>8552</v>
      </c>
      <c r="G44" s="132">
        <f t="shared" si="0"/>
        <v>82976</v>
      </c>
      <c r="H44" s="132">
        <f t="shared" si="1"/>
        <v>1122903</v>
      </c>
    </row>
    <row r="45" spans="1:8" x14ac:dyDescent="0.25">
      <c r="A45" s="129">
        <v>36</v>
      </c>
      <c r="B45" s="129" t="s">
        <v>191</v>
      </c>
      <c r="C45" s="131">
        <v>0</v>
      </c>
      <c r="D45" s="131">
        <v>0</v>
      </c>
      <c r="E45" s="131">
        <v>0</v>
      </c>
      <c r="F45" s="131">
        <v>28901</v>
      </c>
      <c r="G45" s="132">
        <f t="shared" si="0"/>
        <v>28901</v>
      </c>
      <c r="H45" s="132">
        <f t="shared" si="1"/>
        <v>1151804</v>
      </c>
    </row>
    <row r="46" spans="1:8" x14ac:dyDescent="0.25">
      <c r="A46" s="129">
        <v>37</v>
      </c>
      <c r="B46" s="129" t="s">
        <v>192</v>
      </c>
      <c r="C46" s="131">
        <v>0</v>
      </c>
      <c r="D46" s="131">
        <v>0</v>
      </c>
      <c r="E46" s="131">
        <v>0</v>
      </c>
      <c r="F46" s="131">
        <v>2759</v>
      </c>
      <c r="G46" s="132">
        <f t="shared" si="0"/>
        <v>2759</v>
      </c>
      <c r="H46" s="132">
        <f t="shared" si="1"/>
        <v>1154563</v>
      </c>
    </row>
    <row r="47" spans="1:8" x14ac:dyDescent="0.25">
      <c r="A47" s="129">
        <v>38</v>
      </c>
      <c r="B47" s="129" t="s">
        <v>193</v>
      </c>
      <c r="C47" s="131">
        <v>21858</v>
      </c>
      <c r="D47" s="131">
        <v>0</v>
      </c>
      <c r="E47" s="131">
        <v>0</v>
      </c>
      <c r="F47" s="131">
        <v>0</v>
      </c>
      <c r="G47" s="132">
        <f t="shared" si="0"/>
        <v>21858</v>
      </c>
      <c r="H47" s="132">
        <f t="shared" si="1"/>
        <v>1176421</v>
      </c>
    </row>
    <row r="48" spans="1:8" x14ac:dyDescent="0.25">
      <c r="A48" s="129">
        <v>39</v>
      </c>
      <c r="B48" s="129" t="s">
        <v>195</v>
      </c>
      <c r="C48" s="131">
        <v>11131</v>
      </c>
      <c r="D48" s="131">
        <v>19319</v>
      </c>
      <c r="E48" s="131">
        <v>0</v>
      </c>
      <c r="F48" s="131">
        <v>0</v>
      </c>
      <c r="G48" s="132">
        <f t="shared" si="0"/>
        <v>30450</v>
      </c>
      <c r="H48" s="132">
        <f t="shared" si="1"/>
        <v>1206871</v>
      </c>
    </row>
    <row r="49" spans="1:8" x14ac:dyDescent="0.25">
      <c r="A49" s="129">
        <v>40</v>
      </c>
      <c r="B49" s="129" t="s">
        <v>198</v>
      </c>
      <c r="C49" s="131">
        <v>33351</v>
      </c>
      <c r="D49" s="131">
        <v>35395</v>
      </c>
      <c r="E49" s="131">
        <v>0</v>
      </c>
      <c r="F49" s="131">
        <v>0</v>
      </c>
      <c r="G49" s="132">
        <f t="shared" si="0"/>
        <v>68746</v>
      </c>
      <c r="H49" s="132">
        <f t="shared" si="1"/>
        <v>1275617</v>
      </c>
    </row>
    <row r="50" spans="1:8" x14ac:dyDescent="0.25">
      <c r="A50" s="129">
        <v>41</v>
      </c>
      <c r="B50" s="129" t="s">
        <v>201</v>
      </c>
      <c r="C50" s="131">
        <v>0</v>
      </c>
      <c r="D50" s="131">
        <v>11335</v>
      </c>
      <c r="E50" s="131">
        <v>0</v>
      </c>
      <c r="F50" s="131">
        <v>0</v>
      </c>
      <c r="G50" s="132">
        <f t="shared" si="0"/>
        <v>11335</v>
      </c>
      <c r="H50" s="132">
        <f t="shared" si="1"/>
        <v>1286952</v>
      </c>
    </row>
    <row r="51" spans="1:8" x14ac:dyDescent="0.25">
      <c r="A51" s="129">
        <v>42</v>
      </c>
      <c r="B51" s="129" t="s">
        <v>202</v>
      </c>
      <c r="C51" s="131">
        <v>10904</v>
      </c>
      <c r="D51" s="131">
        <v>1289</v>
      </c>
      <c r="E51" s="131">
        <v>0</v>
      </c>
      <c r="F51" s="131">
        <v>0</v>
      </c>
      <c r="G51" s="132">
        <f t="shared" si="0"/>
        <v>12193</v>
      </c>
      <c r="H51" s="132">
        <f t="shared" si="1"/>
        <v>1299145</v>
      </c>
    </row>
    <row r="52" spans="1:8" x14ac:dyDescent="0.25">
      <c r="A52" s="129">
        <v>43</v>
      </c>
      <c r="B52" s="129" t="s">
        <v>204</v>
      </c>
      <c r="C52" s="131">
        <v>4004</v>
      </c>
      <c r="D52" s="131">
        <v>0</v>
      </c>
      <c r="E52" s="131">
        <v>0</v>
      </c>
      <c r="F52" s="131">
        <v>13619</v>
      </c>
      <c r="G52" s="132">
        <f t="shared" si="0"/>
        <v>17623</v>
      </c>
      <c r="H52" s="132">
        <f t="shared" si="1"/>
        <v>1316768</v>
      </c>
    </row>
    <row r="53" spans="1:8" x14ac:dyDescent="0.25">
      <c r="A53" s="129">
        <v>44</v>
      </c>
      <c r="B53" s="129" t="s">
        <v>206</v>
      </c>
      <c r="C53" s="131">
        <v>18143</v>
      </c>
      <c r="D53" s="131">
        <v>35337</v>
      </c>
      <c r="E53" s="131">
        <v>0</v>
      </c>
      <c r="F53" s="131">
        <v>18398</v>
      </c>
      <c r="G53" s="132">
        <f t="shared" si="0"/>
        <v>71878</v>
      </c>
      <c r="H53" s="132">
        <f t="shared" si="1"/>
        <v>1388646</v>
      </c>
    </row>
    <row r="54" spans="1:8" x14ac:dyDescent="0.25">
      <c r="A54" s="129">
        <v>45</v>
      </c>
      <c r="B54" s="129" t="s">
        <v>207</v>
      </c>
      <c r="C54" s="131">
        <v>67828</v>
      </c>
      <c r="D54" s="131">
        <v>49449</v>
      </c>
      <c r="E54" s="131">
        <v>0</v>
      </c>
      <c r="F54" s="131">
        <v>0</v>
      </c>
      <c r="G54" s="132">
        <f t="shared" si="0"/>
        <v>117277</v>
      </c>
      <c r="H54" s="132">
        <f t="shared" si="1"/>
        <v>1505923</v>
      </c>
    </row>
    <row r="55" spans="1:8" x14ac:dyDescent="0.25">
      <c r="A55" s="129">
        <v>46</v>
      </c>
      <c r="B55" s="129" t="s">
        <v>208</v>
      </c>
      <c r="C55" s="131">
        <v>30877</v>
      </c>
      <c r="D55" s="131">
        <v>37467</v>
      </c>
      <c r="E55" s="131">
        <v>0</v>
      </c>
      <c r="F55" s="131">
        <v>0</v>
      </c>
      <c r="G55" s="132">
        <f t="shared" si="0"/>
        <v>68344</v>
      </c>
      <c r="H55" s="132">
        <f t="shared" si="1"/>
        <v>1574267</v>
      </c>
    </row>
    <row r="56" spans="1:8" x14ac:dyDescent="0.25">
      <c r="A56" s="129">
        <v>47</v>
      </c>
      <c r="B56" s="129" t="s">
        <v>209</v>
      </c>
      <c r="C56" s="131">
        <v>1430</v>
      </c>
      <c r="D56" s="131">
        <v>0</v>
      </c>
      <c r="E56" s="131">
        <v>0</v>
      </c>
      <c r="F56" s="131">
        <v>0</v>
      </c>
      <c r="G56" s="132">
        <f t="shared" si="0"/>
        <v>1430</v>
      </c>
      <c r="H56" s="132">
        <f t="shared" si="1"/>
        <v>1575697</v>
      </c>
    </row>
    <row r="57" spans="1:8" x14ac:dyDescent="0.25">
      <c r="A57" s="129">
        <v>48</v>
      </c>
      <c r="B57" s="129" t="s">
        <v>211</v>
      </c>
      <c r="C57" s="131">
        <v>0</v>
      </c>
      <c r="D57" s="131">
        <v>0</v>
      </c>
      <c r="E57" s="131">
        <v>0</v>
      </c>
      <c r="F57" s="131">
        <v>28507</v>
      </c>
      <c r="G57" s="132">
        <f t="shared" si="0"/>
        <v>28507</v>
      </c>
      <c r="H57" s="132">
        <f t="shared" si="1"/>
        <v>1604204</v>
      </c>
    </row>
    <row r="58" spans="1:8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1604204</v>
      </c>
    </row>
    <row r="59" spans="1:8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1604204</v>
      </c>
    </row>
    <row r="60" spans="1:8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1604204</v>
      </c>
    </row>
    <row r="61" spans="1:8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1604204</v>
      </c>
    </row>
    <row r="62" spans="1:8" x14ac:dyDescent="0.25">
      <c r="A62" s="129" t="s">
        <v>116</v>
      </c>
      <c r="B62" s="129" t="s">
        <v>117</v>
      </c>
      <c r="C62" s="132">
        <f>SUM(C10:C61)</f>
        <v>726150</v>
      </c>
      <c r="D62" s="132">
        <f>SUM(D10:D61)</f>
        <v>638110</v>
      </c>
      <c r="E62" s="132">
        <f>SUM(E10:E61)</f>
        <v>11031</v>
      </c>
      <c r="F62" s="132">
        <f>SUM(F10:F61)</f>
        <v>228913</v>
      </c>
      <c r="G62" s="132">
        <f>SUM(G10:G61)</f>
        <v>1604204</v>
      </c>
      <c r="H62" s="132"/>
    </row>
    <row r="64" spans="1:8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1B0AE-D94E-4063-887F-22CAE3297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2024-09-05T10:21:16Z</cp:lastPrinted>
  <dcterms:created xsi:type="dcterms:W3CDTF">2005-05-06T06:48:19Z</dcterms:created>
  <dcterms:modified xsi:type="dcterms:W3CDTF">2025-03-06T11:56:21Z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