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16" documentId="8_{AB5974CB-1878-4DD9-9E13-7041FA452013}" xr6:coauthVersionLast="47" xr6:coauthVersionMax="47" xr10:uidLastSave="{19BCB7BC-221C-4CBA-B596-059B50ABADAC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2" r:id="rId10"/>
    <sheet name="Weekliks-Weekly" sheetId="33" r:id="rId11"/>
    <sheet name="Cummulative exports" sheetId="31" r:id="rId12"/>
    <sheet name="Sheet1" sheetId="30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bestem.'!$A$1:$T$95</definedName>
    <definedName name="_xlnm.Print_Area" localSheetId="8">'Imports from - Invoere vanaf 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5" i="9" l="1"/>
  <c r="O89" i="9"/>
  <c r="O61" i="9"/>
  <c r="O60" i="9"/>
  <c r="O59" i="9"/>
  <c r="O58" i="9"/>
  <c r="O57" i="9"/>
  <c r="P53" i="9"/>
  <c r="O14" i="9"/>
  <c r="O13" i="9"/>
  <c r="O12" i="9"/>
  <c r="O11" i="9"/>
  <c r="O10" i="9"/>
  <c r="O9" i="9"/>
  <c r="G6" i="9"/>
  <c r="G5" i="9"/>
  <c r="C4" i="9" s="1"/>
  <c r="B16" i="8"/>
  <c r="B4" i="8"/>
  <c r="O52" i="9"/>
  <c r="O86" i="9"/>
  <c r="O83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89" i="9"/>
  <c r="N61" i="9"/>
  <c r="N60" i="9"/>
  <c r="N59" i="9"/>
  <c r="N58" i="9"/>
  <c r="N57" i="9"/>
  <c r="N14" i="9"/>
  <c r="N13" i="9"/>
  <c r="N12" i="9"/>
  <c r="N11" i="9"/>
  <c r="N10" i="9"/>
  <c r="N9" i="9"/>
  <c r="N86" i="9"/>
  <c r="N23" i="33" l="1"/>
  <c r="N24" i="33" s="1"/>
  <c r="O95" i="9"/>
  <c r="O53" i="9"/>
  <c r="V9" i="33"/>
  <c r="E60" i="33"/>
  <c r="M10" i="33"/>
  <c r="N45" i="9"/>
  <c r="N25" i="33" l="1"/>
  <c r="N26" i="33" s="1"/>
  <c r="N27" i="33" s="1"/>
  <c r="N28" i="33" s="1"/>
  <c r="N29" i="33" s="1"/>
  <c r="N30" i="33" s="1"/>
  <c r="N31" i="33" s="1"/>
  <c r="N32" i="33" s="1"/>
  <c r="N33" i="33" s="1"/>
  <c r="N34" i="33" s="1"/>
  <c r="N35" i="33" s="1"/>
  <c r="N36" i="33" s="1"/>
  <c r="N37" i="33" s="1"/>
  <c r="N38" i="33" s="1"/>
  <c r="N39" i="33" s="1"/>
  <c r="N40" i="33" s="1"/>
  <c r="N41" i="33" s="1"/>
  <c r="N42" i="33" s="1"/>
  <c r="N43" i="33" s="1"/>
  <c r="N44" i="33" s="1"/>
  <c r="N45" i="33" s="1"/>
  <c r="N46" i="33" s="1"/>
  <c r="N47" i="33" s="1"/>
  <c r="N48" i="33" s="1"/>
  <c r="N49" i="33" s="1"/>
  <c r="N50" i="33" s="1"/>
  <c r="N51" i="33" s="1"/>
  <c r="N52" i="33" s="1"/>
  <c r="N53" i="33" s="1"/>
  <c r="N54" i="33" s="1"/>
  <c r="N55" i="33" s="1"/>
  <c r="N56" i="33" s="1"/>
  <c r="N57" i="33" s="1"/>
  <c r="N58" i="33" s="1"/>
  <c r="N59" i="33" s="1"/>
  <c r="N60" i="33" s="1"/>
  <c r="N61" i="33" s="1"/>
  <c r="V10" i="33"/>
  <c r="M11" i="33"/>
  <c r="E61" i="33"/>
  <c r="U61" i="33" s="1"/>
  <c r="U60" i="33"/>
  <c r="N70" i="9"/>
  <c r="M30" i="32"/>
  <c r="M31" i="32" s="1"/>
  <c r="M32" i="32" s="1"/>
  <c r="M33" i="32" s="1"/>
  <c r="M34" i="32" s="1"/>
  <c r="M35" i="32" s="1"/>
  <c r="M36" i="32" s="1"/>
  <c r="M37" i="32" s="1"/>
  <c r="M38" i="32" s="1"/>
  <c r="M39" i="32" s="1"/>
  <c r="M40" i="32" s="1"/>
  <c r="M41" i="32" s="1"/>
  <c r="M42" i="32" s="1"/>
  <c r="M43" i="32" s="1"/>
  <c r="M44" i="32" s="1"/>
  <c r="M45" i="32" s="1"/>
  <c r="M46" i="32" s="1"/>
  <c r="M47" i="32" s="1"/>
  <c r="M48" i="32" s="1"/>
  <c r="M49" i="32" s="1"/>
  <c r="M50" i="32" s="1"/>
  <c r="M51" i="32" s="1"/>
  <c r="M52" i="32" s="1"/>
  <c r="M53" i="32" s="1"/>
  <c r="N9" i="32"/>
  <c r="M9" i="32"/>
  <c r="V11" i="33" l="1"/>
  <c r="M12" i="33"/>
  <c r="M54" i="32"/>
  <c r="M55" i="32" s="1"/>
  <c r="N64" i="9"/>
  <c r="N83" i="9"/>
  <c r="N79" i="9"/>
  <c r="N73" i="9"/>
  <c r="N26" i="9"/>
  <c r="V12" i="33" l="1"/>
  <c r="M13" i="33"/>
  <c r="M56" i="32"/>
  <c r="N93" i="9"/>
  <c r="N63" i="9"/>
  <c r="N27" i="9"/>
  <c r="B5" i="8"/>
  <c r="N62" i="9"/>
  <c r="N47" i="9"/>
  <c r="V13" i="33" l="1"/>
  <c r="M14" i="33"/>
  <c r="N95" i="9"/>
  <c r="V14" i="33" l="1"/>
  <c r="M15" i="33"/>
  <c r="Q24" i="30"/>
  <c r="R24" i="30"/>
  <c r="Q25" i="30"/>
  <c r="R25" i="30"/>
  <c r="Q26" i="30"/>
  <c r="R26" i="30"/>
  <c r="Q27" i="30"/>
  <c r="R27" i="30"/>
  <c r="Q28" i="30"/>
  <c r="R28" i="30"/>
  <c r="Q29" i="30"/>
  <c r="R29" i="30"/>
  <c r="Q30" i="30"/>
  <c r="R30" i="30"/>
  <c r="Q31" i="30"/>
  <c r="R31" i="30"/>
  <c r="Q32" i="30"/>
  <c r="R32" i="30"/>
  <c r="Q33" i="30"/>
  <c r="R33" i="30"/>
  <c r="Q34" i="30"/>
  <c r="R34" i="30"/>
  <c r="Q35" i="30"/>
  <c r="R35" i="30"/>
  <c r="Q36" i="30"/>
  <c r="R36" i="30"/>
  <c r="Q37" i="30"/>
  <c r="R37" i="30"/>
  <c r="Q38" i="30"/>
  <c r="R38" i="30"/>
  <c r="Q39" i="30"/>
  <c r="R39" i="30"/>
  <c r="Q40" i="30"/>
  <c r="R40" i="30"/>
  <c r="Q41" i="30"/>
  <c r="R41" i="30"/>
  <c r="Q42" i="30"/>
  <c r="R42" i="30"/>
  <c r="Q43" i="30"/>
  <c r="R43" i="30"/>
  <c r="Q44" i="30"/>
  <c r="R44" i="30"/>
  <c r="Q45" i="30"/>
  <c r="R45" i="30"/>
  <c r="Q46" i="30"/>
  <c r="R46" i="30"/>
  <c r="Q47" i="30"/>
  <c r="R47" i="30"/>
  <c r="Q48" i="30"/>
  <c r="R48" i="30"/>
  <c r="Q49" i="30"/>
  <c r="R49" i="30"/>
  <c r="Q50" i="30"/>
  <c r="R50" i="30"/>
  <c r="Q51" i="30"/>
  <c r="R51" i="30"/>
  <c r="Q52" i="30"/>
  <c r="R52" i="30"/>
  <c r="Q53" i="30"/>
  <c r="R5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28" i="30"/>
  <c r="O29" i="30"/>
  <c r="O30" i="30"/>
  <c r="O31" i="30"/>
  <c r="O32" i="30"/>
  <c r="O33" i="30"/>
  <c r="T61" i="32"/>
  <c r="S61" i="32"/>
  <c r="J61" i="32"/>
  <c r="I61" i="32"/>
  <c r="E61" i="32"/>
  <c r="T60" i="32"/>
  <c r="S60" i="32"/>
  <c r="J60" i="32"/>
  <c r="I60" i="32"/>
  <c r="E60" i="32"/>
  <c r="T59" i="32"/>
  <c r="S59" i="32"/>
  <c r="J59" i="32"/>
  <c r="I59" i="32"/>
  <c r="F59" i="32"/>
  <c r="F60" i="32" s="1"/>
  <c r="F61" i="32" s="1"/>
  <c r="U61" i="32" s="1"/>
  <c r="E59" i="32"/>
  <c r="U59" i="32" s="1"/>
  <c r="T58" i="32"/>
  <c r="S58" i="32"/>
  <c r="J58" i="32"/>
  <c r="I58" i="32"/>
  <c r="F58" i="32"/>
  <c r="E58" i="32"/>
  <c r="U58" i="32" s="1"/>
  <c r="T57" i="32"/>
  <c r="S57" i="32"/>
  <c r="J57" i="32"/>
  <c r="I57" i="32"/>
  <c r="F57" i="32"/>
  <c r="E57" i="32"/>
  <c r="U57" i="32" s="1"/>
  <c r="T56" i="32"/>
  <c r="S56" i="32"/>
  <c r="J56" i="32"/>
  <c r="I56" i="32"/>
  <c r="F56" i="32"/>
  <c r="E56" i="32"/>
  <c r="U56" i="32" s="1"/>
  <c r="T55" i="32"/>
  <c r="S55" i="32"/>
  <c r="J55" i="32"/>
  <c r="I55" i="32"/>
  <c r="F55" i="32"/>
  <c r="E55" i="32"/>
  <c r="U55" i="32" s="1"/>
  <c r="T54" i="32"/>
  <c r="S54" i="32"/>
  <c r="J54" i="32"/>
  <c r="I54" i="32"/>
  <c r="F54" i="32"/>
  <c r="E54" i="32"/>
  <c r="U54" i="32" s="1"/>
  <c r="T53" i="32"/>
  <c r="S53" i="32"/>
  <c r="J53" i="32"/>
  <c r="I53" i="32"/>
  <c r="F53" i="32"/>
  <c r="E53" i="32"/>
  <c r="U53" i="32" s="1"/>
  <c r="T52" i="32"/>
  <c r="S52" i="32"/>
  <c r="J52" i="32"/>
  <c r="I52" i="32"/>
  <c r="F52" i="32"/>
  <c r="E52" i="32"/>
  <c r="U52" i="32" s="1"/>
  <c r="T51" i="32"/>
  <c r="S51" i="32"/>
  <c r="J51" i="32"/>
  <c r="I51" i="32"/>
  <c r="F51" i="32"/>
  <c r="E51" i="32"/>
  <c r="U51" i="32" s="1"/>
  <c r="T50" i="32"/>
  <c r="S50" i="32"/>
  <c r="J50" i="32"/>
  <c r="I50" i="32"/>
  <c r="F50" i="32"/>
  <c r="E50" i="32"/>
  <c r="U50" i="32" s="1"/>
  <c r="T49" i="32"/>
  <c r="S49" i="32"/>
  <c r="J49" i="32"/>
  <c r="I49" i="32"/>
  <c r="F49" i="32"/>
  <c r="E49" i="32"/>
  <c r="U49" i="32" s="1"/>
  <c r="T48" i="32"/>
  <c r="S48" i="32"/>
  <c r="J48" i="32"/>
  <c r="I48" i="32"/>
  <c r="F48" i="32"/>
  <c r="E48" i="32"/>
  <c r="U48" i="32" s="1"/>
  <c r="T47" i="32"/>
  <c r="S47" i="32"/>
  <c r="J47" i="32"/>
  <c r="I47" i="32"/>
  <c r="F47" i="32"/>
  <c r="E47" i="32"/>
  <c r="U47" i="32" s="1"/>
  <c r="T46" i="32"/>
  <c r="S46" i="32"/>
  <c r="J46" i="32"/>
  <c r="I46" i="32"/>
  <c r="F46" i="32"/>
  <c r="E46" i="32"/>
  <c r="U46" i="32" s="1"/>
  <c r="T45" i="32"/>
  <c r="S45" i="32"/>
  <c r="J45" i="32"/>
  <c r="I45" i="32"/>
  <c r="F45" i="32"/>
  <c r="E45" i="32"/>
  <c r="U45" i="32" s="1"/>
  <c r="T44" i="32"/>
  <c r="S44" i="32"/>
  <c r="J44" i="32"/>
  <c r="I44" i="32"/>
  <c r="F44" i="32"/>
  <c r="E44" i="32"/>
  <c r="U44" i="32" s="1"/>
  <c r="T43" i="32"/>
  <c r="S43" i="32"/>
  <c r="J43" i="32"/>
  <c r="I43" i="32"/>
  <c r="F43" i="32"/>
  <c r="E43" i="32"/>
  <c r="U43" i="32" s="1"/>
  <c r="T42" i="32"/>
  <c r="S42" i="32"/>
  <c r="J42" i="32"/>
  <c r="I42" i="32"/>
  <c r="F42" i="32"/>
  <c r="E42" i="32"/>
  <c r="U42" i="32" s="1"/>
  <c r="T41" i="32"/>
  <c r="S41" i="32"/>
  <c r="J41" i="32"/>
  <c r="I41" i="32"/>
  <c r="F41" i="32"/>
  <c r="E41" i="32"/>
  <c r="U41" i="32" s="1"/>
  <c r="T40" i="32"/>
  <c r="S40" i="32"/>
  <c r="J40" i="32"/>
  <c r="I40" i="32"/>
  <c r="F40" i="32"/>
  <c r="E40" i="32"/>
  <c r="U40" i="32" s="1"/>
  <c r="T39" i="32"/>
  <c r="S39" i="32"/>
  <c r="J39" i="32"/>
  <c r="I39" i="32"/>
  <c r="F39" i="32"/>
  <c r="E39" i="32"/>
  <c r="U39" i="32" s="1"/>
  <c r="T38" i="32"/>
  <c r="S38" i="32"/>
  <c r="J38" i="32"/>
  <c r="I38" i="32"/>
  <c r="F38" i="32"/>
  <c r="E38" i="32"/>
  <c r="U38" i="32" s="1"/>
  <c r="T37" i="32"/>
  <c r="S37" i="32"/>
  <c r="J37" i="32"/>
  <c r="I37" i="32"/>
  <c r="F37" i="32"/>
  <c r="E37" i="32"/>
  <c r="U37" i="32" s="1"/>
  <c r="T36" i="32"/>
  <c r="S36" i="32"/>
  <c r="J36" i="32"/>
  <c r="I36" i="32"/>
  <c r="F36" i="32"/>
  <c r="E36" i="32"/>
  <c r="U36" i="32" s="1"/>
  <c r="T35" i="32"/>
  <c r="S35" i="32"/>
  <c r="J35" i="32"/>
  <c r="I35" i="32"/>
  <c r="F35" i="32"/>
  <c r="E35" i="32"/>
  <c r="U35" i="32" s="1"/>
  <c r="T34" i="32"/>
  <c r="S34" i="32"/>
  <c r="J34" i="32"/>
  <c r="I34" i="32"/>
  <c r="F34" i="32"/>
  <c r="E34" i="32"/>
  <c r="U34" i="32" s="1"/>
  <c r="T33" i="32"/>
  <c r="S33" i="32"/>
  <c r="J33" i="32"/>
  <c r="I33" i="32"/>
  <c r="F33" i="32"/>
  <c r="E33" i="32"/>
  <c r="U33" i="32" s="1"/>
  <c r="T32" i="32"/>
  <c r="S32" i="32"/>
  <c r="J32" i="32"/>
  <c r="I32" i="32"/>
  <c r="F32" i="32"/>
  <c r="E32" i="32"/>
  <c r="U32" i="32" s="1"/>
  <c r="T31" i="32"/>
  <c r="S31" i="32"/>
  <c r="J31" i="32"/>
  <c r="I31" i="32"/>
  <c r="F31" i="32"/>
  <c r="E31" i="32"/>
  <c r="U31" i="32" s="1"/>
  <c r="T30" i="32"/>
  <c r="S30" i="32"/>
  <c r="J30" i="32"/>
  <c r="I30" i="32"/>
  <c r="F30" i="32"/>
  <c r="E30" i="32"/>
  <c r="U30" i="32" s="1"/>
  <c r="T29" i="32"/>
  <c r="S29" i="32"/>
  <c r="J29" i="32"/>
  <c r="I29" i="32"/>
  <c r="F29" i="32"/>
  <c r="E29" i="32"/>
  <c r="U29" i="32" s="1"/>
  <c r="T28" i="32"/>
  <c r="J28" i="32"/>
  <c r="I28" i="32"/>
  <c r="F28" i="32"/>
  <c r="E28" i="32"/>
  <c r="U28" i="32" s="1"/>
  <c r="T27" i="32"/>
  <c r="S27" i="32"/>
  <c r="J27" i="32"/>
  <c r="I27" i="32"/>
  <c r="F27" i="32"/>
  <c r="U27" i="32" s="1"/>
  <c r="E27" i="32"/>
  <c r="T26" i="32"/>
  <c r="S26" i="32"/>
  <c r="J26" i="32"/>
  <c r="I26" i="32"/>
  <c r="F26" i="32"/>
  <c r="U26" i="32" s="1"/>
  <c r="E26" i="32"/>
  <c r="T25" i="32"/>
  <c r="S25" i="32"/>
  <c r="J25" i="32"/>
  <c r="I25" i="32"/>
  <c r="F25" i="32"/>
  <c r="E25" i="32"/>
  <c r="U25" i="32" s="1"/>
  <c r="T24" i="32"/>
  <c r="S24" i="32"/>
  <c r="J24" i="32"/>
  <c r="I24" i="32"/>
  <c r="F24" i="32"/>
  <c r="E24" i="32"/>
  <c r="U24" i="32" s="1"/>
  <c r="A24" i="32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T23" i="32"/>
  <c r="S23" i="32"/>
  <c r="J23" i="32"/>
  <c r="I23" i="32"/>
  <c r="F23" i="32"/>
  <c r="U23" i="32" s="1"/>
  <c r="E23" i="32"/>
  <c r="T22" i="32"/>
  <c r="S22" i="32"/>
  <c r="J22" i="32"/>
  <c r="I22" i="32"/>
  <c r="F22" i="32"/>
  <c r="U22" i="32" s="1"/>
  <c r="E22" i="32"/>
  <c r="T21" i="32"/>
  <c r="S21" i="32"/>
  <c r="J21" i="32"/>
  <c r="I21" i="32"/>
  <c r="F21" i="32"/>
  <c r="E21" i="32"/>
  <c r="U21" i="32" s="1"/>
  <c r="T20" i="32"/>
  <c r="S20" i="32"/>
  <c r="J20" i="32"/>
  <c r="I20" i="32"/>
  <c r="F20" i="32"/>
  <c r="E20" i="32"/>
  <c r="U20" i="32" s="1"/>
  <c r="A20" i="32"/>
  <c r="A21" i="32" s="1"/>
  <c r="A22" i="32" s="1"/>
  <c r="A23" i="32" s="1"/>
  <c r="T19" i="32"/>
  <c r="S19" i="32"/>
  <c r="J19" i="32"/>
  <c r="I19" i="32"/>
  <c r="F19" i="32"/>
  <c r="U19" i="32" s="1"/>
  <c r="E19" i="32"/>
  <c r="T18" i="32"/>
  <c r="S18" i="32"/>
  <c r="J18" i="32"/>
  <c r="I18" i="32"/>
  <c r="F18" i="32"/>
  <c r="U18" i="32" s="1"/>
  <c r="E18" i="32"/>
  <c r="T17" i="32"/>
  <c r="S17" i="32"/>
  <c r="R17" i="32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Q17" i="32"/>
  <c r="Q18" i="32" s="1"/>
  <c r="Q19" i="32" s="1"/>
  <c r="Q20" i="32" s="1"/>
  <c r="Q21" i="32" s="1"/>
  <c r="Q22" i="32" s="1"/>
  <c r="Q23" i="32" s="1"/>
  <c r="Q24" i="32" s="1"/>
  <c r="Q25" i="32" s="1"/>
  <c r="Q26" i="32" s="1"/>
  <c r="Q27" i="32" s="1"/>
  <c r="Q28" i="32" s="1"/>
  <c r="Q29" i="32" s="1"/>
  <c r="J17" i="32"/>
  <c r="I17" i="32"/>
  <c r="F17" i="32"/>
  <c r="E17" i="32"/>
  <c r="U17" i="32" s="1"/>
  <c r="T16" i="32"/>
  <c r="S16" i="32"/>
  <c r="J16" i="32"/>
  <c r="I16" i="32"/>
  <c r="F16" i="32"/>
  <c r="E16" i="32"/>
  <c r="U16" i="32" s="1"/>
  <c r="U15" i="32"/>
  <c r="T15" i="32"/>
  <c r="S15" i="32"/>
  <c r="J15" i="32"/>
  <c r="I15" i="32"/>
  <c r="F15" i="32"/>
  <c r="E15" i="32"/>
  <c r="T14" i="32"/>
  <c r="S14" i="32"/>
  <c r="J14" i="32"/>
  <c r="I14" i="32"/>
  <c r="F14" i="32"/>
  <c r="E14" i="32"/>
  <c r="U14" i="32" s="1"/>
  <c r="T13" i="32"/>
  <c r="S13" i="32"/>
  <c r="J13" i="32"/>
  <c r="I13" i="32"/>
  <c r="F13" i="32"/>
  <c r="U13" i="32" s="1"/>
  <c r="E13" i="32"/>
  <c r="T12" i="32"/>
  <c r="S12" i="32"/>
  <c r="J12" i="32"/>
  <c r="I12" i="32"/>
  <c r="F12" i="32"/>
  <c r="E12" i="32"/>
  <c r="U11" i="32"/>
  <c r="T11" i="32"/>
  <c r="S11" i="32"/>
  <c r="J11" i="32"/>
  <c r="I11" i="32"/>
  <c r="F11" i="32"/>
  <c r="E11" i="32"/>
  <c r="A11" i="32"/>
  <c r="A12" i="32" s="1"/>
  <c r="A13" i="32" s="1"/>
  <c r="A14" i="32" s="1"/>
  <c r="A15" i="32" s="1"/>
  <c r="A16" i="32" s="1"/>
  <c r="A17" i="32" s="1"/>
  <c r="A18" i="32" s="1"/>
  <c r="A19" i="32" s="1"/>
  <c r="T10" i="32"/>
  <c r="S10" i="32"/>
  <c r="J10" i="32"/>
  <c r="I10" i="32"/>
  <c r="F10" i="32"/>
  <c r="E10" i="32"/>
  <c r="U10" i="32" s="1"/>
  <c r="B10" i="32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A10" i="32"/>
  <c r="T9" i="32"/>
  <c r="S9" i="32"/>
  <c r="N10" i="32"/>
  <c r="M10" i="32"/>
  <c r="M11" i="32" s="1"/>
  <c r="M12" i="32" s="1"/>
  <c r="M13" i="32" s="1"/>
  <c r="J9" i="32"/>
  <c r="I9" i="32"/>
  <c r="F9" i="32"/>
  <c r="E9" i="32"/>
  <c r="U9" i="32" s="1"/>
  <c r="M89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1" i="9"/>
  <c r="M35" i="9"/>
  <c r="M28" i="9"/>
  <c r="M27" i="9"/>
  <c r="M64" i="9"/>
  <c r="M87" i="9"/>
  <c r="M47" i="9"/>
  <c r="M46" i="9"/>
  <c r="M15" i="9"/>
  <c r="M63" i="9"/>
  <c r="I38" i="30"/>
  <c r="I39" i="30" s="1"/>
  <c r="I40" i="30" s="1"/>
  <c r="I41" i="30" s="1"/>
  <c r="I42" i="30" s="1"/>
  <c r="I43" i="30" s="1"/>
  <c r="I44" i="30" s="1"/>
  <c r="I45" i="30" s="1"/>
  <c r="I46" i="30" s="1"/>
  <c r="I47" i="30" s="1"/>
  <c r="I48" i="30" s="1"/>
  <c r="I49" i="30" s="1"/>
  <c r="I50" i="30" s="1"/>
  <c r="I51" i="30" s="1"/>
  <c r="I52" i="30" s="1"/>
  <c r="I53" i="30" s="1"/>
  <c r="J38" i="30"/>
  <c r="J39" i="30" s="1"/>
  <c r="J40" i="30" s="1"/>
  <c r="J41" i="30" s="1"/>
  <c r="J42" i="30" s="1"/>
  <c r="J43" i="30" s="1"/>
  <c r="J44" i="30" s="1"/>
  <c r="J45" i="30" s="1"/>
  <c r="J46" i="30" s="1"/>
  <c r="J47" i="30" s="1"/>
  <c r="J48" i="30" s="1"/>
  <c r="J49" i="30" s="1"/>
  <c r="J50" i="30" s="1"/>
  <c r="J51" i="30" s="1"/>
  <c r="J52" i="30" s="1"/>
  <c r="J53" i="30" s="1"/>
  <c r="K38" i="30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L38" i="30"/>
  <c r="M38" i="30"/>
  <c r="L39" i="30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M39" i="30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I28" i="30"/>
  <c r="I29" i="30" s="1"/>
  <c r="I30" i="30" s="1"/>
  <c r="I31" i="30" s="1"/>
  <c r="I32" i="30" s="1"/>
  <c r="I33" i="30" s="1"/>
  <c r="I34" i="30" s="1"/>
  <c r="I35" i="30" s="1"/>
  <c r="I36" i="30" s="1"/>
  <c r="I37" i="30" s="1"/>
  <c r="J28" i="30"/>
  <c r="J29" i="30" s="1"/>
  <c r="J30" i="30" s="1"/>
  <c r="J31" i="30" s="1"/>
  <c r="J32" i="30" s="1"/>
  <c r="J33" i="30" s="1"/>
  <c r="J34" i="30" s="1"/>
  <c r="J35" i="30" s="1"/>
  <c r="J36" i="30" s="1"/>
  <c r="J37" i="30" s="1"/>
  <c r="K28" i="30"/>
  <c r="L28" i="30"/>
  <c r="M28" i="30"/>
  <c r="M29" i="30" s="1"/>
  <c r="M30" i="30" s="1"/>
  <c r="M31" i="30" s="1"/>
  <c r="M32" i="30" s="1"/>
  <c r="M33" i="30" s="1"/>
  <c r="M34" i="30" s="1"/>
  <c r="M35" i="30" s="1"/>
  <c r="M36" i="30" s="1"/>
  <c r="M37" i="30" s="1"/>
  <c r="K29" i="30"/>
  <c r="K30" i="30" s="1"/>
  <c r="K31" i="30" s="1"/>
  <c r="K32" i="30" s="1"/>
  <c r="K33" i="30" s="1"/>
  <c r="K34" i="30" s="1"/>
  <c r="K35" i="30" s="1"/>
  <c r="K36" i="30" s="1"/>
  <c r="K37" i="30" s="1"/>
  <c r="L29" i="30"/>
  <c r="L30" i="30" s="1"/>
  <c r="L31" i="30" s="1"/>
  <c r="L32" i="30" s="1"/>
  <c r="L33" i="30" s="1"/>
  <c r="L34" i="30" s="1"/>
  <c r="L35" i="30" s="1"/>
  <c r="L36" i="30" s="1"/>
  <c r="L37" i="30" s="1"/>
  <c r="M83" i="9"/>
  <c r="M65" i="9"/>
  <c r="M93" i="9"/>
  <c r="M44" i="9"/>
  <c r="M33" i="9"/>
  <c r="V15" i="33" l="1"/>
  <c r="M16" i="33"/>
  <c r="N53" i="9"/>
  <c r="V9" i="32"/>
  <c r="V10" i="32"/>
  <c r="N11" i="32"/>
  <c r="N12" i="32" s="1"/>
  <c r="N13" i="32" s="1"/>
  <c r="N14" i="32" s="1"/>
  <c r="N15" i="32" s="1"/>
  <c r="N16" i="32" s="1"/>
  <c r="N17" i="32" s="1"/>
  <c r="N18" i="32" s="1"/>
  <c r="M14" i="32"/>
  <c r="U12" i="32"/>
  <c r="U60" i="32"/>
  <c r="M53" i="9"/>
  <c r="V16" i="33" l="1"/>
  <c r="M17" i="33"/>
  <c r="N19" i="32"/>
  <c r="V12" i="32"/>
  <c r="V13" i="32"/>
  <c r="V11" i="32"/>
  <c r="M15" i="32"/>
  <c r="V14" i="32"/>
  <c r="M18" i="33" l="1"/>
  <c r="V17" i="33"/>
  <c r="N20" i="32"/>
  <c r="N21" i="32" s="1"/>
  <c r="M16" i="32"/>
  <c r="V15" i="32"/>
  <c r="M95" i="9"/>
  <c r="L93" i="9"/>
  <c r="L65" i="9"/>
  <c r="L62" i="9"/>
  <c r="L61" i="9"/>
  <c r="S8" i="9" s="1"/>
  <c r="L60" i="9"/>
  <c r="S10" i="9" s="1"/>
  <c r="L59" i="9"/>
  <c r="L58" i="9"/>
  <c r="L57" i="9"/>
  <c r="S9" i="9" s="1"/>
  <c r="L35" i="9"/>
  <c r="R18" i="9" s="1"/>
  <c r="L16" i="9"/>
  <c r="L14" i="9"/>
  <c r="R8" i="9" s="1"/>
  <c r="L13" i="9"/>
  <c r="R10" i="9" s="1"/>
  <c r="L11" i="9"/>
  <c r="L10" i="9"/>
  <c r="R9" i="9" s="1"/>
  <c r="L9" i="9"/>
  <c r="R11" i="9" s="1"/>
  <c r="R35" i="9"/>
  <c r="S55" i="9" s="1"/>
  <c r="S11" i="9"/>
  <c r="L73" i="9"/>
  <c r="L63" i="9"/>
  <c r="B13" i="8"/>
  <c r="L83" i="9"/>
  <c r="I63" i="9"/>
  <c r="K63" i="9"/>
  <c r="L87" i="9"/>
  <c r="L70" i="9"/>
  <c r="L12" i="9"/>
  <c r="O27" i="30"/>
  <c r="I27" i="30"/>
  <c r="J27" i="30"/>
  <c r="K27" i="30"/>
  <c r="L27" i="30"/>
  <c r="M27" i="30"/>
  <c r="G54" i="30"/>
  <c r="O55" i="30"/>
  <c r="F55" i="30"/>
  <c r="E55" i="30"/>
  <c r="D55" i="30"/>
  <c r="C55" i="30"/>
  <c r="B55" i="30"/>
  <c r="M3" i="30"/>
  <c r="U3" i="30"/>
  <c r="J3" i="30"/>
  <c r="R3" i="30"/>
  <c r="I3" i="30"/>
  <c r="Q3" i="30"/>
  <c r="U2" i="30"/>
  <c r="T2" i="30"/>
  <c r="R2" i="30"/>
  <c r="Q2" i="30"/>
  <c r="O2" i="30"/>
  <c r="W2" i="30"/>
  <c r="M2" i="30"/>
  <c r="L2" i="30"/>
  <c r="L3" i="30"/>
  <c r="K2" i="30"/>
  <c r="S2" i="30"/>
  <c r="J2" i="30"/>
  <c r="I2" i="30"/>
  <c r="G2" i="30"/>
  <c r="N2" i="30" s="1"/>
  <c r="V2" i="30" s="1"/>
  <c r="L4" i="30"/>
  <c r="T3" i="30"/>
  <c r="K3" i="30"/>
  <c r="O3" i="30"/>
  <c r="W3" i="30"/>
  <c r="I4" i="30"/>
  <c r="M4" i="30"/>
  <c r="J4" i="30"/>
  <c r="R4" i="30"/>
  <c r="J5" i="30"/>
  <c r="K4" i="30"/>
  <c r="S3" i="30"/>
  <c r="M5" i="30"/>
  <c r="U4" i="30"/>
  <c r="I5" i="30"/>
  <c r="O4" i="30"/>
  <c r="W4" i="30"/>
  <c r="Q4" i="30"/>
  <c r="T4" i="30"/>
  <c r="L5" i="30"/>
  <c r="U5" i="30"/>
  <c r="M6" i="30"/>
  <c r="R5" i="30"/>
  <c r="J6" i="30"/>
  <c r="T5" i="30"/>
  <c r="L6" i="30"/>
  <c r="Q5" i="30"/>
  <c r="I6" i="30"/>
  <c r="O5" i="30"/>
  <c r="W5" i="30"/>
  <c r="S4" i="30"/>
  <c r="K5" i="30"/>
  <c r="T6" i="30"/>
  <c r="L7" i="30"/>
  <c r="M7" i="30"/>
  <c r="U6" i="30"/>
  <c r="I7" i="30"/>
  <c r="O6" i="30"/>
  <c r="W6" i="30"/>
  <c r="Q6" i="30"/>
  <c r="R6" i="30"/>
  <c r="J7" i="30"/>
  <c r="K6" i="30"/>
  <c r="S5" i="30"/>
  <c r="U7" i="30"/>
  <c r="M8" i="30"/>
  <c r="S6" i="30"/>
  <c r="K7" i="30"/>
  <c r="T7" i="30"/>
  <c r="L8" i="30"/>
  <c r="R7" i="30"/>
  <c r="J8" i="30"/>
  <c r="Q7" i="30"/>
  <c r="I8" i="30"/>
  <c r="O7" i="30"/>
  <c r="W7" i="30"/>
  <c r="K8" i="30"/>
  <c r="S7" i="30"/>
  <c r="R8" i="30"/>
  <c r="J9" i="30"/>
  <c r="T8" i="30"/>
  <c r="L9" i="30"/>
  <c r="M9" i="30"/>
  <c r="U8" i="30"/>
  <c r="I9" i="30"/>
  <c r="O8" i="30"/>
  <c r="W8" i="30"/>
  <c r="Q8" i="30"/>
  <c r="R9" i="30"/>
  <c r="J10" i="30"/>
  <c r="T9" i="30"/>
  <c r="L10" i="30"/>
  <c r="Q9" i="30"/>
  <c r="I10" i="30"/>
  <c r="O9" i="30"/>
  <c r="W9" i="30"/>
  <c r="S8" i="30"/>
  <c r="K9" i="30"/>
  <c r="U9" i="30"/>
  <c r="M10" i="30"/>
  <c r="I11" i="30"/>
  <c r="Q10" i="30"/>
  <c r="M11" i="30"/>
  <c r="U10" i="30"/>
  <c r="R10" i="30"/>
  <c r="J11" i="30"/>
  <c r="K10" i="30"/>
  <c r="S9" i="30"/>
  <c r="T10" i="30"/>
  <c r="L11" i="30"/>
  <c r="S10" i="30"/>
  <c r="K11" i="30"/>
  <c r="T11" i="30"/>
  <c r="L12" i="30"/>
  <c r="O10" i="30"/>
  <c r="W10" i="30"/>
  <c r="U11" i="30"/>
  <c r="M12" i="30"/>
  <c r="R11" i="30"/>
  <c r="J12" i="30"/>
  <c r="Q11" i="30"/>
  <c r="I12" i="30"/>
  <c r="O11" i="30"/>
  <c r="W11" i="30"/>
  <c r="M13" i="30"/>
  <c r="U12" i="30"/>
  <c r="K12" i="30"/>
  <c r="S11" i="30"/>
  <c r="T12" i="30"/>
  <c r="L13" i="30"/>
  <c r="I13" i="30"/>
  <c r="O12" i="30"/>
  <c r="W12" i="30"/>
  <c r="Q12" i="30"/>
  <c r="R12" i="30"/>
  <c r="J13" i="30"/>
  <c r="T13" i="30"/>
  <c r="L14" i="30"/>
  <c r="R13" i="30"/>
  <c r="J14" i="30"/>
  <c r="Q13" i="30"/>
  <c r="I14" i="30"/>
  <c r="S12" i="30"/>
  <c r="K13" i="30"/>
  <c r="U13" i="30"/>
  <c r="M14" i="30"/>
  <c r="I15" i="30"/>
  <c r="O14" i="30"/>
  <c r="W14" i="30"/>
  <c r="Q14" i="30"/>
  <c r="K14" i="30"/>
  <c r="S13" i="30"/>
  <c r="R14" i="30"/>
  <c r="J15" i="30"/>
  <c r="T14" i="30"/>
  <c r="L15" i="30"/>
  <c r="M15" i="30"/>
  <c r="U14" i="30"/>
  <c r="O13" i="30"/>
  <c r="W13" i="30"/>
  <c r="T15" i="30"/>
  <c r="L16" i="30"/>
  <c r="Q15" i="30"/>
  <c r="I16" i="30"/>
  <c r="O15" i="30"/>
  <c r="W15" i="30"/>
  <c r="S14" i="30"/>
  <c r="K15" i="30"/>
  <c r="U15" i="30"/>
  <c r="M16" i="30"/>
  <c r="R15" i="30"/>
  <c r="J16" i="30"/>
  <c r="L89" i="9"/>
  <c r="L91" i="9"/>
  <c r="L88" i="9"/>
  <c r="K93" i="9"/>
  <c r="K89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89" i="9"/>
  <c r="J61" i="9"/>
  <c r="J60" i="9"/>
  <c r="J59" i="9"/>
  <c r="J58" i="9"/>
  <c r="J57" i="9"/>
  <c r="J73" i="9"/>
  <c r="J74" i="9"/>
  <c r="J65" i="9"/>
  <c r="I93" i="9"/>
  <c r="I91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3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89" i="9"/>
  <c r="H62" i="9"/>
  <c r="H70" i="9"/>
  <c r="H63" i="9"/>
  <c r="H27" i="9"/>
  <c r="H50" i="9"/>
  <c r="B9" i="8"/>
  <c r="B10" i="8"/>
  <c r="B11" i="8"/>
  <c r="B12" i="8"/>
  <c r="B18" i="8"/>
  <c r="B19" i="8"/>
  <c r="B23" i="8"/>
  <c r="B20" i="8"/>
  <c r="B21" i="8"/>
  <c r="B22" i="8"/>
  <c r="G89" i="9"/>
  <c r="G86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89" i="9"/>
  <c r="F94" i="9"/>
  <c r="F71" i="9"/>
  <c r="F72" i="9"/>
  <c r="D89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5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T64" i="9"/>
  <c r="S64" i="9"/>
  <c r="R64" i="9"/>
  <c r="E95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I17" i="30"/>
  <c r="O16" i="30"/>
  <c r="W16" i="30"/>
  <c r="Q16" i="30"/>
  <c r="M17" i="30"/>
  <c r="U16" i="30"/>
  <c r="K16" i="30"/>
  <c r="S15" i="30"/>
  <c r="T16" i="30"/>
  <c r="L17" i="30"/>
  <c r="R16" i="30"/>
  <c r="J17" i="30"/>
  <c r="Q17" i="30"/>
  <c r="I18" i="30"/>
  <c r="O17" i="30"/>
  <c r="W17" i="30"/>
  <c r="U17" i="30"/>
  <c r="M18" i="30"/>
  <c r="S16" i="30"/>
  <c r="K17" i="30"/>
  <c r="T17" i="30"/>
  <c r="L18" i="30"/>
  <c r="R17" i="30"/>
  <c r="J18" i="30"/>
  <c r="R18" i="30"/>
  <c r="J19" i="30"/>
  <c r="K18" i="30"/>
  <c r="S17" i="30"/>
  <c r="I19" i="30"/>
  <c r="O18" i="30"/>
  <c r="W18" i="30"/>
  <c r="Q18" i="30"/>
  <c r="T18" i="30"/>
  <c r="L19" i="30"/>
  <c r="M19" i="30"/>
  <c r="U18" i="30"/>
  <c r="U19" i="30"/>
  <c r="M20" i="30"/>
  <c r="R19" i="30"/>
  <c r="J20" i="30"/>
  <c r="T19" i="30"/>
  <c r="L20" i="30"/>
  <c r="Q19" i="30"/>
  <c r="I20" i="30"/>
  <c r="O19" i="30"/>
  <c r="W19" i="30"/>
  <c r="S18" i="30"/>
  <c r="K19" i="30"/>
  <c r="R20" i="30"/>
  <c r="J21" i="30"/>
  <c r="M21" i="30"/>
  <c r="U20" i="30"/>
  <c r="I21" i="30"/>
  <c r="Q20" i="30"/>
  <c r="T20" i="30"/>
  <c r="L21" i="30"/>
  <c r="K20" i="30"/>
  <c r="S19" i="30"/>
  <c r="S20" i="30"/>
  <c r="K21" i="30"/>
  <c r="O20" i="30"/>
  <c r="W20" i="30"/>
  <c r="T21" i="30"/>
  <c r="L22" i="30"/>
  <c r="Q21" i="30"/>
  <c r="I22" i="30"/>
  <c r="O21" i="30"/>
  <c r="W21" i="30"/>
  <c r="U21" i="30"/>
  <c r="M22" i="30"/>
  <c r="R21" i="30"/>
  <c r="J22" i="30"/>
  <c r="I23" i="30"/>
  <c r="O22" i="30"/>
  <c r="W22" i="30"/>
  <c r="Q22" i="30"/>
  <c r="R22" i="30"/>
  <c r="J23" i="30"/>
  <c r="M23" i="30"/>
  <c r="U22" i="30"/>
  <c r="K22" i="30"/>
  <c r="S21" i="30"/>
  <c r="T22" i="30"/>
  <c r="L23" i="30"/>
  <c r="U23" i="30"/>
  <c r="M24" i="30"/>
  <c r="M25" i="30"/>
  <c r="M26" i="30"/>
  <c r="T23" i="30"/>
  <c r="L24" i="30"/>
  <c r="L25" i="30"/>
  <c r="L26" i="30"/>
  <c r="Q23" i="30"/>
  <c r="I24" i="30"/>
  <c r="R23" i="30"/>
  <c r="J24" i="30"/>
  <c r="J25" i="30"/>
  <c r="J26" i="30"/>
  <c r="S22" i="30"/>
  <c r="K23" i="30"/>
  <c r="K24" i="30"/>
  <c r="K25" i="30"/>
  <c r="K26" i="30"/>
  <c r="S23" i="30"/>
  <c r="O23" i="30"/>
  <c r="W23" i="30"/>
  <c r="O24" i="30"/>
  <c r="I25" i="30"/>
  <c r="I26" i="30"/>
  <c r="O26" i="30"/>
  <c r="O25" i="30"/>
  <c r="V18" i="33" l="1"/>
  <c r="M19" i="33"/>
  <c r="N22" i="32"/>
  <c r="N23" i="32" s="1"/>
  <c r="N24" i="32" s="1"/>
  <c r="M17" i="32"/>
  <c r="V16" i="32"/>
  <c r="K53" i="9"/>
  <c r="C95" i="9"/>
  <c r="D53" i="9"/>
  <c r="I95" i="9"/>
  <c r="J95" i="9"/>
  <c r="I53" i="9"/>
  <c r="G95" i="9"/>
  <c r="J53" i="9"/>
  <c r="G53" i="9"/>
  <c r="H53" i="9"/>
  <c r="T33" i="9" s="1"/>
  <c r="T34" i="9" s="1"/>
  <c r="B96" i="9"/>
  <c r="D95" i="9"/>
  <c r="F53" i="9"/>
  <c r="F95" i="9"/>
  <c r="T53" i="9" s="1"/>
  <c r="T54" i="9" s="1"/>
  <c r="H95" i="9"/>
  <c r="S53" i="9" s="1"/>
  <c r="S54" i="9" s="1"/>
  <c r="S56" i="9" s="1"/>
  <c r="K95" i="9"/>
  <c r="C53" i="9"/>
  <c r="E53" i="9"/>
  <c r="E96" i="9" s="1"/>
  <c r="S33" i="9"/>
  <c r="S34" i="9" s="1"/>
  <c r="N3" i="30"/>
  <c r="N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T9" i="9"/>
  <c r="E17" i="8"/>
  <c r="E16" i="8"/>
  <c r="E9" i="8"/>
  <c r="R17" i="9"/>
  <c r="R19" i="9" s="1"/>
  <c r="T67" i="9"/>
  <c r="S18" i="9"/>
  <c r="T18" i="9" s="1"/>
  <c r="T35" i="9"/>
  <c r="S67" i="9"/>
  <c r="T55" i="9"/>
  <c r="R55" i="9"/>
  <c r="B25" i="8"/>
  <c r="E8" i="8"/>
  <c r="T8" i="9"/>
  <c r="S12" i="9"/>
  <c r="T11" i="9"/>
  <c r="S17" i="9"/>
  <c r="L95" i="9"/>
  <c r="L53" i="9"/>
  <c r="T10" i="9"/>
  <c r="R12" i="9"/>
  <c r="R67" i="9"/>
  <c r="S35" i="9"/>
  <c r="R53" i="9" l="1"/>
  <c r="R54" i="9" s="1"/>
  <c r="R26" i="9"/>
  <c r="R27" i="9" s="1"/>
  <c r="S26" i="9"/>
  <c r="S27" i="9" s="1"/>
  <c r="R33" i="9"/>
  <c r="R34" i="9" s="1"/>
  <c r="R36" i="9" s="1"/>
  <c r="V19" i="33"/>
  <c r="M20" i="33"/>
  <c r="D96" i="9"/>
  <c r="K96" i="9"/>
  <c r="N25" i="32"/>
  <c r="N26" i="32" s="1"/>
  <c r="R65" i="9"/>
  <c r="R66" i="9" s="1"/>
  <c r="R68" i="9" s="1"/>
  <c r="I96" i="9"/>
  <c r="T36" i="9"/>
  <c r="C96" i="9"/>
  <c r="J96" i="9"/>
  <c r="V17" i="32"/>
  <c r="M18" i="32"/>
  <c r="G96" i="9"/>
  <c r="F96" i="9"/>
  <c r="T56" i="9"/>
  <c r="H96" i="9"/>
  <c r="T26" i="9" s="1"/>
  <c r="S36" i="9"/>
  <c r="E10" i="8"/>
  <c r="R56" i="9"/>
  <c r="V3" i="30"/>
  <c r="N5" i="30"/>
  <c r="V4" i="30"/>
  <c r="E18" i="8"/>
  <c r="S19" i="9"/>
  <c r="T19" i="9" s="1"/>
  <c r="T27" i="9"/>
  <c r="T17" i="9"/>
  <c r="T12" i="9"/>
  <c r="V20" i="33" l="1"/>
  <c r="M21" i="33"/>
  <c r="S65" i="9"/>
  <c r="S66" i="9" s="1"/>
  <c r="S68" i="9" s="1"/>
  <c r="N27" i="32"/>
  <c r="N28" i="32" s="1"/>
  <c r="N29" i="32" s="1"/>
  <c r="N30" i="32" s="1"/>
  <c r="V18" i="32"/>
  <c r="M19" i="32"/>
  <c r="T65" i="9"/>
  <c r="T66" i="9" s="1"/>
  <c r="T68" i="9" s="1"/>
  <c r="N6" i="30"/>
  <c r="V5" i="30"/>
  <c r="V21" i="33" l="1"/>
  <c r="M22" i="33"/>
  <c r="N31" i="32"/>
  <c r="N32" i="32" s="1"/>
  <c r="N33" i="32" s="1"/>
  <c r="N34" i="32" s="1"/>
  <c r="N35" i="32" s="1"/>
  <c r="M20" i="32"/>
  <c r="V19" i="32"/>
  <c r="V6" i="30"/>
  <c r="N7" i="30"/>
  <c r="V22" i="33" l="1"/>
  <c r="M23" i="33"/>
  <c r="N36" i="32"/>
  <c r="N37" i="32" s="1"/>
  <c r="N38" i="32" s="1"/>
  <c r="N39" i="32" s="1"/>
  <c r="N40" i="32" s="1"/>
  <c r="N41" i="32" s="1"/>
  <c r="N42" i="32" s="1"/>
  <c r="N43" i="32" s="1"/>
  <c r="N44" i="32" s="1"/>
  <c r="M21" i="32"/>
  <c r="V20" i="32"/>
  <c r="N8" i="30"/>
  <c r="V7" i="30"/>
  <c r="V23" i="33" l="1"/>
  <c r="M24" i="33"/>
  <c r="N45" i="32"/>
  <c r="M22" i="32"/>
  <c r="V21" i="32"/>
  <c r="V8" i="30"/>
  <c r="N9" i="30"/>
  <c r="V24" i="33" l="1"/>
  <c r="M25" i="33"/>
  <c r="N46" i="32"/>
  <c r="V22" i="32"/>
  <c r="M23" i="32"/>
  <c r="N10" i="30"/>
  <c r="V9" i="30"/>
  <c r="V25" i="33" l="1"/>
  <c r="M26" i="33"/>
  <c r="N47" i="32"/>
  <c r="M24" i="32"/>
  <c r="V23" i="32"/>
  <c r="N11" i="30"/>
  <c r="V10" i="30"/>
  <c r="V26" i="33" l="1"/>
  <c r="M27" i="33"/>
  <c r="N48" i="32"/>
  <c r="N49" i="32" s="1"/>
  <c r="N50" i="32" s="1"/>
  <c r="M25" i="32"/>
  <c r="V24" i="32"/>
  <c r="V11" i="30"/>
  <c r="N12" i="30"/>
  <c r="V27" i="33" l="1"/>
  <c r="M28" i="33"/>
  <c r="N51" i="32"/>
  <c r="N52" i="32" s="1"/>
  <c r="N53" i="32" s="1"/>
  <c r="V25" i="32"/>
  <c r="M26" i="32"/>
  <c r="V12" i="30"/>
  <c r="N13" i="30"/>
  <c r="M29" i="33" l="1"/>
  <c r="V28" i="33"/>
  <c r="N54" i="32"/>
  <c r="N55" i="32" s="1"/>
  <c r="N56" i="32" s="1"/>
  <c r="N57" i="32" s="1"/>
  <c r="N58" i="32" s="1"/>
  <c r="V26" i="32"/>
  <c r="M27" i="32"/>
  <c r="N14" i="30"/>
  <c r="V13" i="30"/>
  <c r="M30" i="33" l="1"/>
  <c r="V29" i="33"/>
  <c r="N59" i="32"/>
  <c r="N60" i="32" s="1"/>
  <c r="N61" i="32" s="1"/>
  <c r="M28" i="32"/>
  <c r="V27" i="32"/>
  <c r="V14" i="30"/>
  <c r="N15" i="30"/>
  <c r="V30" i="33" l="1"/>
  <c r="M31" i="33"/>
  <c r="V28" i="32"/>
  <c r="M29" i="32"/>
  <c r="V15" i="30"/>
  <c r="N16" i="30"/>
  <c r="M32" i="33" l="1"/>
  <c r="V31" i="33"/>
  <c r="V29" i="32"/>
  <c r="V16" i="30"/>
  <c r="N17" i="30"/>
  <c r="V32" i="33" l="1"/>
  <c r="M33" i="33"/>
  <c r="V30" i="32"/>
  <c r="N18" i="30"/>
  <c r="V17" i="30"/>
  <c r="M34" i="33" l="1"/>
  <c r="V33" i="33"/>
  <c r="V31" i="32"/>
  <c r="V18" i="30"/>
  <c r="N19" i="30"/>
  <c r="V34" i="33" l="1"/>
  <c r="M35" i="33"/>
  <c r="V32" i="32"/>
  <c r="V19" i="30"/>
  <c r="N20" i="30"/>
  <c r="M36" i="33" l="1"/>
  <c r="V35" i="33"/>
  <c r="V33" i="32"/>
  <c r="V20" i="30"/>
  <c r="N21" i="30"/>
  <c r="V36" i="33" l="1"/>
  <c r="M37" i="33"/>
  <c r="V34" i="32"/>
  <c r="N22" i="30"/>
  <c r="V21" i="30"/>
  <c r="M38" i="33" l="1"/>
  <c r="V37" i="33"/>
  <c r="V35" i="32"/>
  <c r="V22" i="30"/>
  <c r="N23" i="30"/>
  <c r="V38" i="33" l="1"/>
  <c r="M39" i="33"/>
  <c r="V36" i="32"/>
  <c r="V23" i="30"/>
  <c r="N24" i="30"/>
  <c r="N25" i="30" s="1"/>
  <c r="N26" i="30" s="1"/>
  <c r="N27" i="30" s="1"/>
  <c r="N28" i="30" s="1"/>
  <c r="N29" i="30" s="1"/>
  <c r="N30" i="30" s="1"/>
  <c r="N31" i="30" s="1"/>
  <c r="N32" i="30" s="1"/>
  <c r="N33" i="30" s="1"/>
  <c r="N34" i="30" s="1"/>
  <c r="N35" i="30" s="1"/>
  <c r="N36" i="30" s="1"/>
  <c r="N37" i="30" s="1"/>
  <c r="N38" i="30" s="1"/>
  <c r="N39" i="30" s="1"/>
  <c r="N40" i="30" s="1"/>
  <c r="N41" i="30" s="1"/>
  <c r="N42" i="30" s="1"/>
  <c r="N43" i="30" s="1"/>
  <c r="N44" i="30" s="1"/>
  <c r="N45" i="30" s="1"/>
  <c r="N46" i="30" s="1"/>
  <c r="N47" i="30" s="1"/>
  <c r="N48" i="30" s="1"/>
  <c r="N49" i="30" s="1"/>
  <c r="N50" i="30" s="1"/>
  <c r="N51" i="30" s="1"/>
  <c r="N52" i="30" s="1"/>
  <c r="N53" i="30" s="1"/>
  <c r="M40" i="33" l="1"/>
  <c r="V39" i="33"/>
  <c r="V37" i="32"/>
  <c r="V40" i="33" l="1"/>
  <c r="M41" i="33"/>
  <c r="V38" i="32"/>
  <c r="M42" i="33" l="1"/>
  <c r="V41" i="33"/>
  <c r="V39" i="32"/>
  <c r="V42" i="33" l="1"/>
  <c r="M43" i="33"/>
  <c r="V40" i="32"/>
  <c r="M44" i="33" l="1"/>
  <c r="V43" i="33"/>
  <c r="V41" i="32"/>
  <c r="V44" i="33" l="1"/>
  <c r="M45" i="33"/>
  <c r="V42" i="32"/>
  <c r="M46" i="33" l="1"/>
  <c r="V45" i="33"/>
  <c r="V43" i="32"/>
  <c r="V46" i="33" l="1"/>
  <c r="M47" i="33"/>
  <c r="V44" i="32"/>
  <c r="M48" i="33" l="1"/>
  <c r="V47" i="33"/>
  <c r="V45" i="32"/>
  <c r="V48" i="33" l="1"/>
  <c r="M49" i="33"/>
  <c r="V46" i="32"/>
  <c r="M50" i="33" l="1"/>
  <c r="V49" i="33"/>
  <c r="V47" i="32"/>
  <c r="V50" i="33" l="1"/>
  <c r="M51" i="33"/>
  <c r="V48" i="32"/>
  <c r="M52" i="33" l="1"/>
  <c r="V51" i="33"/>
  <c r="V49" i="32"/>
  <c r="V52" i="33" l="1"/>
  <c r="M53" i="33"/>
  <c r="V50" i="32"/>
  <c r="M54" i="33" l="1"/>
  <c r="V53" i="33"/>
  <c r="V51" i="32"/>
  <c r="V54" i="33" l="1"/>
  <c r="M55" i="33"/>
  <c r="V52" i="32"/>
  <c r="M56" i="33" l="1"/>
  <c r="V55" i="33"/>
  <c r="V53" i="32"/>
  <c r="V56" i="33" l="1"/>
  <c r="M57" i="33"/>
  <c r="V54" i="32"/>
  <c r="M58" i="33" l="1"/>
  <c r="V57" i="33"/>
  <c r="V55" i="32"/>
  <c r="V58" i="33" l="1"/>
  <c r="M59" i="33"/>
  <c r="V56" i="32"/>
  <c r="M57" i="32"/>
  <c r="M60" i="33" l="1"/>
  <c r="V59" i="33"/>
  <c r="M58" i="32"/>
  <c r="V57" i="32"/>
  <c r="V60" i="33" l="1"/>
  <c r="M61" i="33"/>
  <c r="V61" i="33" s="1"/>
  <c r="V58" i="32"/>
  <c r="M59" i="32"/>
  <c r="V59" i="32" l="1"/>
  <c r="M60" i="32"/>
  <c r="V60" i="32" l="1"/>
  <c r="M61" i="32"/>
  <c r="V61" i="32" s="1"/>
</calcChain>
</file>

<file path=xl/sharedStrings.xml><?xml version="1.0" encoding="utf-8"?>
<sst xmlns="http://schemas.openxmlformats.org/spreadsheetml/2006/main" count="740" uniqueCount="271">
  <si>
    <t>NA SUID-AFRIKA/TO SOUTH AFRICA</t>
  </si>
  <si>
    <t>WIT MIELIES/WHITE MAIZE</t>
  </si>
  <si>
    <t>Metric tons</t>
  </si>
  <si>
    <t>USA</t>
  </si>
  <si>
    <t>Malawië</t>
  </si>
  <si>
    <t>TOTAAL/TOTAL</t>
  </si>
  <si>
    <t>GEEL MIELIES/YELLOW MAIZE</t>
  </si>
  <si>
    <t>Argentina</t>
  </si>
  <si>
    <t>ALLE MIELIES/ALL MAIZE</t>
  </si>
  <si>
    <t>UIT SUID-AFRIKA/FROM SOUTH AFRICA</t>
  </si>
  <si>
    <t>wit/white</t>
  </si>
  <si>
    <t>geel/yellow</t>
  </si>
  <si>
    <t>Botswana</t>
  </si>
  <si>
    <t>Swaziland</t>
  </si>
  <si>
    <t>Zimbabwe</t>
  </si>
  <si>
    <t>Lesotho</t>
  </si>
  <si>
    <t>Zambia</t>
  </si>
  <si>
    <t>Namibia</t>
  </si>
  <si>
    <t>Mozambique</t>
  </si>
  <si>
    <t>Totaal/Total</t>
  </si>
  <si>
    <t>Madagaskar</t>
  </si>
  <si>
    <t>Angola</t>
  </si>
  <si>
    <t>Kenya</t>
  </si>
  <si>
    <t>Tanzania</t>
  </si>
  <si>
    <t>Japan</t>
  </si>
  <si>
    <t>Senegal</t>
  </si>
  <si>
    <t>Invoere/Imports</t>
  </si>
  <si>
    <t>Uitvoere/Exports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</si>
  <si>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</si>
  <si>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</si>
  <si>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</si>
  <si>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</si>
  <si>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</si>
  <si>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</si>
  <si>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</si>
  <si>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</si>
  <si>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</si>
  <si>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</si>
  <si>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>Ghana</t>
  </si>
  <si>
    <t>Iran</t>
  </si>
  <si>
    <t>Totaal</t>
  </si>
  <si>
    <t>Benin</t>
  </si>
  <si>
    <t>Cameroon</t>
  </si>
  <si>
    <t>Sudan</t>
  </si>
  <si>
    <t>Indonesia</t>
  </si>
  <si>
    <t>Wit/white</t>
  </si>
  <si>
    <t>Geel/yellow</t>
  </si>
  <si>
    <t xml:space="preserve">Conservative </t>
  </si>
  <si>
    <t>Projected total white maize exports for marketing season</t>
  </si>
  <si>
    <t>Outstanding total</t>
  </si>
  <si>
    <t>Remaining weeks</t>
  </si>
  <si>
    <t xml:space="preserve">Weekly export pace needed to obtain projected total </t>
  </si>
  <si>
    <t>Optimistic</t>
  </si>
  <si>
    <t xml:space="preserve">Likely </t>
  </si>
  <si>
    <t xml:space="preserve"> White maize export projections</t>
  </si>
  <si>
    <t>Yellow maize export projections</t>
  </si>
  <si>
    <t>Projected total yellowmaize exports for marketing season</t>
  </si>
  <si>
    <t xml:space="preserve"> Total maize export projections</t>
  </si>
  <si>
    <t>Projected total maize exports for marketing season</t>
  </si>
  <si>
    <t xml:space="preserve">Remaining weeks in marketing year </t>
  </si>
  <si>
    <t xml:space="preserve">Madagascar </t>
  </si>
  <si>
    <t>Dar-es-Salaam</t>
  </si>
  <si>
    <t>TOTAAL</t>
  </si>
  <si>
    <t>Weekly ave</t>
  </si>
  <si>
    <t>Weeks remaining</t>
  </si>
  <si>
    <t>Projected total imports</t>
  </si>
  <si>
    <t>Germany</t>
  </si>
  <si>
    <t>Somalia</t>
  </si>
  <si>
    <t>Congo</t>
  </si>
  <si>
    <t>Mexiko</t>
  </si>
  <si>
    <t>Zambië</t>
  </si>
  <si>
    <t>Tanzanië</t>
  </si>
  <si>
    <t>Ethiopia</t>
  </si>
  <si>
    <t>Malaysia</t>
  </si>
  <si>
    <t>Mauritius</t>
  </si>
  <si>
    <t>Yemen</t>
  </si>
  <si>
    <t>Chad</t>
  </si>
  <si>
    <t>Guinea</t>
  </si>
  <si>
    <t>Togo</t>
  </si>
  <si>
    <t>Brazil</t>
  </si>
  <si>
    <t>Seychelles</t>
  </si>
  <si>
    <t>Kuwait</t>
  </si>
  <si>
    <t>Spain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</si>
  <si>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</si>
  <si>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</si>
  <si>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Italy</t>
  </si>
  <si>
    <t>Exports-Africa vs Rest/Uitvoere- Afrika vs res</t>
  </si>
  <si>
    <t>Africa/Afrika (BLNS included/ingesluit)</t>
  </si>
  <si>
    <t>Nigeria</t>
  </si>
  <si>
    <t>Singapore</t>
  </si>
  <si>
    <t>Portugal</t>
  </si>
  <si>
    <t>Exports/Uitvoere BLNS</t>
  </si>
  <si>
    <t>Venezuela</t>
  </si>
  <si>
    <t>Romania</t>
  </si>
  <si>
    <t>Ukraine</t>
  </si>
  <si>
    <t xml:space="preserve"> </t>
  </si>
  <si>
    <t>1.  Note:  Likely scenario compares with Grain SA S&amp;D number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</si>
  <si>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</si>
  <si>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</si>
  <si>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 xml:space="preserve">2. Conservative and optimistic scenario is based on subjective opinion and/or regression estimate  </t>
  </si>
  <si>
    <t>*Reguitlyn / Straight line</t>
  </si>
  <si>
    <t>Projeksie* vir 52 weke / Projection* for 52 weeks</t>
  </si>
  <si>
    <t>Mali</t>
  </si>
  <si>
    <t>Egipte</t>
  </si>
  <si>
    <t>2011/12</t>
  </si>
  <si>
    <t>2012/13</t>
  </si>
  <si>
    <t>North Korea</t>
  </si>
  <si>
    <t>South Korea</t>
  </si>
  <si>
    <t>2013/14</t>
  </si>
  <si>
    <t>Korea (North)</t>
  </si>
  <si>
    <t>Saudi Arabia</t>
  </si>
  <si>
    <t>2015/16*</t>
  </si>
  <si>
    <t>2014/15</t>
  </si>
  <si>
    <t>Mexico</t>
  </si>
  <si>
    <t>Week</t>
  </si>
  <si>
    <t>Durban</t>
  </si>
  <si>
    <t/>
  </si>
  <si>
    <t>Total</t>
  </si>
  <si>
    <t>Cape Town</t>
  </si>
  <si>
    <t>Port Elizabeth</t>
  </si>
  <si>
    <t>Paraquay</t>
  </si>
  <si>
    <t>Central African Republic</t>
  </si>
  <si>
    <t>United States</t>
  </si>
  <si>
    <t xml:space="preserve">30 April 2016 tot </t>
  </si>
  <si>
    <t>GEELMIELIES: WEEKLIKSE INVOER PER HAWE - 2016/17 SEISOEN</t>
  </si>
  <si>
    <t>30 Apr - 06 May/Mei 2016</t>
  </si>
  <si>
    <t>2016/17</t>
  </si>
  <si>
    <t>30 April 2016 to</t>
  </si>
  <si>
    <t>Progressive yellow maize exports since 6 May 2016</t>
  </si>
  <si>
    <t>Progressive white maize exports since 6 May 2016</t>
  </si>
  <si>
    <t>Weeklikse gemid uitvoer tempo vir 2015/16. Weekly average export pace for 2015/16</t>
  </si>
  <si>
    <t>Progressive total maize exports since 6 May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</si>
  <si>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</si>
  <si>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</si>
  <si>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</si>
  <si>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</si>
  <si>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</si>
  <si>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</si>
  <si>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</si>
  <si>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</si>
  <si>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</si>
  <si>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</si>
  <si>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Total/Totaal</t>
  </si>
  <si>
    <t>16 Jul - 22 Jul 2016</t>
  </si>
  <si>
    <t>WITMIELIES: WEEKLIKSE INVOER PER HAWE - 2016/17 SEISOEN</t>
  </si>
  <si>
    <t>East London</t>
  </si>
  <si>
    <t>23 Jul - 29 Jul 2016</t>
  </si>
  <si>
    <t>UNITED STATES</t>
  </si>
  <si>
    <t>ARGENTINA</t>
  </si>
  <si>
    <t>NA ANDER LANDE/TO OTHER COUNTRIES</t>
  </si>
  <si>
    <t>30 Jul - 05 Aug 2016</t>
  </si>
  <si>
    <t>06 Aug - 12 Aug 2016</t>
  </si>
  <si>
    <t>SAGIS GM WEEKLIKSE INVOERE PER HAWE/YM WEEKLY IMPORTS PER HARBOUR</t>
  </si>
  <si>
    <t>SAGIS WM WEEKLIKSE INVOERE PER HAWE/WM WEEKLY IMPORTS PER HARBOUR</t>
  </si>
  <si>
    <t>SAGIS GEEL INVOERE/YELLOW IMPORTS</t>
  </si>
  <si>
    <t>SAGIS INVOERE/IMPORTS</t>
  </si>
  <si>
    <t>SAGIS WIT INVOERE/WHITE IMPORTS</t>
  </si>
  <si>
    <t>13 Aug - 19 Aug 2016</t>
  </si>
  <si>
    <t>20 Aug - 26 Aug 2016</t>
  </si>
  <si>
    <t>27 Aug - 02 Sep 2016</t>
  </si>
  <si>
    <t>YELLOW MAIZE: WEEKLY IMPORTS FOR OTHER COUNTRIES - 2016/17 SEASON</t>
  </si>
  <si>
    <t>GEELMIELIES: WEEKLIKSE INVOERE VIR ANDER LANDE - 2016/17 SEISOEN</t>
  </si>
  <si>
    <t>LESOTHO</t>
  </si>
  <si>
    <t>ZIMBABWE</t>
  </si>
  <si>
    <t>SAGIS WIT UITVOERE / WHITE EXPORTS</t>
  </si>
  <si>
    <t>VIR INGEVOERDE MIELIES /  FOR IMPORTED MAIZE</t>
  </si>
  <si>
    <t>NAMIBIA</t>
  </si>
  <si>
    <t>SWAZILAND</t>
  </si>
  <si>
    <t>SAGIS GEEL UITVOERE / YELLOW EXPORTS</t>
  </si>
  <si>
    <t>VAN INGEVOERDE MIELIES /  FOR IMPORTED MAIZE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</si>
  <si>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</si>
  <si>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</si>
  <si>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</si>
  <si>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</si>
  <si>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</si>
  <si>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</si>
  <si>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</si>
  <si>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MOZAMBIQUE</t>
  </si>
  <si>
    <t>22 Oct/Okt - 28 Oct/Okt 2016</t>
  </si>
  <si>
    <t>29 Oct/Okt - 04 Nov 2016</t>
  </si>
  <si>
    <t>05 Nov - 11 Nov 2016</t>
  </si>
  <si>
    <t>12 Nov - 18 Nov 2016</t>
  </si>
  <si>
    <t>Richards Bay</t>
  </si>
  <si>
    <t>19 Nov - 25 Nov 2016</t>
  </si>
  <si>
    <t>WHITE MAIZE: WEEKLY IMPORT PER HARBOUR - 2016/17 SEASON</t>
  </si>
  <si>
    <t>26 Nov - 02 Dec/Des 2016</t>
  </si>
  <si>
    <t>03 Dec/Des - 09 Dec/Des 2016</t>
  </si>
  <si>
    <t>10 Dec/Des - 16 Dec/Des 2016</t>
  </si>
  <si>
    <t>17 Dec/Des - 23 Dec/Des 2016</t>
  </si>
  <si>
    <t>24 Dec/Des - 30 Dec/Des 2016</t>
  </si>
  <si>
    <t>ANGOLA</t>
  </si>
  <si>
    <t>31 Dec/Des - 06 Jan 2017</t>
  </si>
  <si>
    <t>07 Jan - 13 Jan 2017</t>
  </si>
  <si>
    <t>14 Jan - 20 Jan 2017</t>
  </si>
  <si>
    <t>* Total Exports of Imported maize  for weeks 3 December 2016 - 30 December 2016</t>
  </si>
  <si>
    <t>21 Jan - 27 Jan 2017</t>
  </si>
  <si>
    <t>YELLOW MAIZE: WEEKLY IMPORT PER HARBOUR - 2016/17 SEASON</t>
  </si>
  <si>
    <t>*35</t>
  </si>
  <si>
    <t>28 Jan - 03 Feb 2017</t>
  </si>
  <si>
    <t>WITMIELIES: UITVOERE VAN INGEVOERDE MIELIES - 2016/17 SEISOEN</t>
  </si>
  <si>
    <t>GEELMIELIES: UITVOERE VAN INGEVOERDE MIELIES - 2016/17 SEISOEN</t>
  </si>
  <si>
    <t>04 Feb - 10 Feb 2017</t>
  </si>
  <si>
    <t>11 Feb - 17 Feb 2017</t>
  </si>
  <si>
    <t>ROMANIA</t>
  </si>
  <si>
    <t>18 Feb - 24 Feb 2017</t>
  </si>
  <si>
    <t>YELLOW MAIZE: EXPORTS OF IMPORTED MAIZE - 2016/17 SEASON</t>
  </si>
  <si>
    <t>25 Feb - 03 Mar 2017</t>
  </si>
  <si>
    <t>04 Mar - 10 Mar 2017</t>
  </si>
  <si>
    <t>11 Mar - 17 Mar 2017</t>
  </si>
  <si>
    <t>18 Mar - 24 Mar 2017</t>
  </si>
  <si>
    <t>UKRAINE</t>
  </si>
  <si>
    <t>25 Mar - 31 Mar 2017</t>
  </si>
  <si>
    <t>TANZANIA</t>
  </si>
  <si>
    <t>01 Apr - 07 Apr 2017</t>
  </si>
  <si>
    <t>08 Apr - 14 Apr 2017</t>
  </si>
  <si>
    <t>WHITE MAIZE: EXPORTS OF IMPORTED MAIZE - 2016/17 SEASON</t>
  </si>
  <si>
    <t>BOTSWANA</t>
  </si>
  <si>
    <t>15 Apr - 21 Apr 2017</t>
  </si>
  <si>
    <t>22 Apr - 28 Apr 2017</t>
  </si>
  <si>
    <t>* Total Imports for other countries for weeks 3 December 2016 - 30 December 2016</t>
  </si>
  <si>
    <t>*Total/Totaal</t>
  </si>
  <si>
    <t>*Includes: Imports for RSA and other countries</t>
  </si>
  <si>
    <t>*Sluit in: Invoer vir RSA en ander lande</t>
  </si>
  <si>
    <t>2017/18</t>
  </si>
  <si>
    <t>Taiwan, Prov of China</t>
  </si>
  <si>
    <t>Korea, Rep of</t>
  </si>
  <si>
    <t>Other than Africa/Ander as Afrika</t>
  </si>
  <si>
    <t>Uganda</t>
  </si>
  <si>
    <t>Qatar</t>
  </si>
  <si>
    <t>Vietnam</t>
  </si>
  <si>
    <t>2018/19</t>
  </si>
  <si>
    <t>Fisiese Invoere</t>
  </si>
  <si>
    <t>Physical Imports</t>
  </si>
  <si>
    <t>Invoer intensies</t>
  </si>
  <si>
    <t>Import intentions</t>
  </si>
  <si>
    <t>Fisiese Uitvoere</t>
  </si>
  <si>
    <t>Physical Exports</t>
  </si>
  <si>
    <t>Uitvoer intensies</t>
  </si>
  <si>
    <t>Export intentions</t>
  </si>
  <si>
    <t>Korea, Dem Peoples Rep</t>
  </si>
  <si>
    <t>2019/20</t>
  </si>
  <si>
    <t>Eswatini (Swaziland)</t>
  </si>
  <si>
    <t>Djibouti</t>
  </si>
  <si>
    <t>2020/21</t>
  </si>
  <si>
    <t>Metric Tons</t>
  </si>
  <si>
    <t>Palau</t>
  </si>
  <si>
    <t>2021/22</t>
  </si>
  <si>
    <t>UITVOERE/EXPORTS - 2021/22 Marketing season/ bemarkingseisoen</t>
  </si>
  <si>
    <t xml:space="preserve">1 Mei 2021 tot 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</si>
  <si>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</si>
  <si>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</si>
  <si>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</si>
  <si>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</si>
  <si>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</si>
  <si>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</si>
  <si>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</si>
  <si>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</si>
  <si>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 xml:space="preserve">30 April 2022 tot </t>
  </si>
  <si>
    <t>2022/23</t>
  </si>
  <si>
    <t>Albania</t>
  </si>
  <si>
    <t>Honduras</t>
  </si>
  <si>
    <t>Guatemala</t>
  </si>
  <si>
    <t>China</t>
  </si>
  <si>
    <t>SAGIS: WEEKLIKSE INVOERE EN UITVOERE 2023/24 Bemarkingseisoen</t>
  </si>
  <si>
    <t>SAGIS: WEEKLY IMPORTS AND EXPORTS 2023/24 Marketing season</t>
  </si>
  <si>
    <t>30 April 2023 to</t>
  </si>
  <si>
    <t>2023/24</t>
  </si>
  <si>
    <t>Malawi</t>
  </si>
  <si>
    <t>SAGIS: WEEKLIKSE INVOERE EN UITVOERE 2024/25 Bemarkingseisoen</t>
  </si>
  <si>
    <t>SAGIS: WEEKLY IMPORTS AND EXPORTS 2024/25 Marketing season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</si>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</sst>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  <numFmt numFmtId="170" formatCode="0.000"/>
    <numFmt numFmtId="171" formatCode="#,##0.000"/>
    <numFmt numFmtId="172" formatCode="0.000_ ;[Red]\-0.000\ 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8" fillId="2" borderId="32" applyNumberFormat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49" fontId="4" fillId="0" borderId="0" xfId="0" applyNumberFormat="1" applyFont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0" fontId="8" fillId="0" borderId="14" xfId="0" applyFont="1" applyBorder="1"/>
    <xf numFmtId="166" fontId="8" fillId="0" borderId="8" xfId="1" applyNumberFormat="1" applyFont="1" applyBorder="1"/>
    <xf numFmtId="166" fontId="8" fillId="0" borderId="15" xfId="1" applyNumberFormat="1" applyFont="1" applyBorder="1"/>
    <xf numFmtId="0" fontId="4" fillId="0" borderId="8" xfId="0" applyFont="1" applyBorder="1"/>
    <xf numFmtId="0" fontId="4" fillId="0" borderId="17" xfId="0" applyFont="1" applyBorder="1"/>
    <xf numFmtId="15" fontId="4" fillId="0" borderId="0" xfId="0" applyNumberFormat="1" applyFont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5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166" fontId="3" fillId="0" borderId="0" xfId="1" applyNumberFormat="1" applyFont="1" applyBorder="1"/>
    <xf numFmtId="0" fontId="2" fillId="0" borderId="14" xfId="0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0" fontId="2" fillId="0" borderId="8" xfId="0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3" fontId="10" fillId="0" borderId="0" xfId="0" applyNumberFormat="1" applyFont="1"/>
    <xf numFmtId="166" fontId="10" fillId="0" borderId="0" xfId="1" applyNumberFormat="1" applyFont="1"/>
    <xf numFmtId="0" fontId="9" fillId="0" borderId="8" xfId="0" applyFont="1" applyBorder="1"/>
    <xf numFmtId="166" fontId="9" fillId="0" borderId="8" xfId="1" applyNumberFormat="1" applyFont="1" applyBorder="1"/>
    <xf numFmtId="0" fontId="10" fillId="0" borderId="8" xfId="0" applyFont="1" applyBorder="1"/>
    <xf numFmtId="166" fontId="10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1" fillId="0" borderId="0" xfId="0" applyFont="1"/>
    <xf numFmtId="0" fontId="14" fillId="0" borderId="0" xfId="0" applyFont="1"/>
    <xf numFmtId="3" fontId="9" fillId="0" borderId="8" xfId="0" applyNumberFormat="1" applyFont="1" applyBorder="1"/>
    <xf numFmtId="167" fontId="14" fillId="0" borderId="11" xfId="0" applyNumberFormat="1" applyFont="1" applyBorder="1"/>
    <xf numFmtId="167" fontId="14" fillId="0" borderId="12" xfId="0" applyNumberFormat="1" applyFont="1" applyBorder="1"/>
    <xf numFmtId="0" fontId="14" fillId="0" borderId="16" xfId="0" applyFont="1" applyBorder="1"/>
    <xf numFmtId="0" fontId="4" fillId="0" borderId="22" xfId="0" applyFont="1" applyBorder="1"/>
    <xf numFmtId="0" fontId="3" fillId="0" borderId="23" xfId="0" applyFont="1" applyBorder="1"/>
    <xf numFmtId="17" fontId="2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0" borderId="20" xfId="0" applyFont="1" applyBorder="1"/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166" fontId="18" fillId="2" borderId="32" xfId="2" applyNumberFormat="1"/>
    <xf numFmtId="3" fontId="18" fillId="2" borderId="32" xfId="2" applyNumberFormat="1"/>
    <xf numFmtId="166" fontId="18" fillId="2" borderId="33" xfId="2" applyNumberFormat="1" applyBorder="1"/>
    <xf numFmtId="15" fontId="19" fillId="2" borderId="32" xfId="2" applyNumberFormat="1" applyFont="1"/>
    <xf numFmtId="0" fontId="2" fillId="0" borderId="17" xfId="0" applyFont="1" applyBorder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20" fillId="3" borderId="8" xfId="2" applyNumberFormat="1" applyFont="1" applyFill="1" applyBorder="1"/>
    <xf numFmtId="3" fontId="20" fillId="3" borderId="8" xfId="2" applyNumberFormat="1" applyFont="1" applyFill="1" applyBorder="1"/>
    <xf numFmtId="3" fontId="21" fillId="3" borderId="8" xfId="0" applyNumberFormat="1" applyFont="1" applyFill="1" applyBorder="1"/>
    <xf numFmtId="0" fontId="20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8" fillId="2" borderId="35" xfId="2" applyNumberFormat="1" applyBorder="1" applyAlignment="1">
      <alignment horizontal="right"/>
    </xf>
    <xf numFmtId="0" fontId="18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2" fillId="3" borderId="8" xfId="2" applyNumberFormat="1" applyFont="1" applyFill="1" applyBorder="1"/>
    <xf numFmtId="3" fontId="22" fillId="3" borderId="8" xfId="2" applyNumberFormat="1" applyFont="1" applyFill="1" applyBorder="1"/>
    <xf numFmtId="15" fontId="18" fillId="2" borderId="36" xfId="2" applyNumberFormat="1" applyBorder="1" applyAlignment="1">
      <alignment horizontal="center"/>
    </xf>
    <xf numFmtId="0" fontId="18" fillId="2" borderId="32" xfId="2" applyNumberFormat="1"/>
    <xf numFmtId="0" fontId="6" fillId="0" borderId="3" xfId="0" applyFont="1" applyBorder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15" fontId="18" fillId="2" borderId="32" xfId="2" applyNumberFormat="1"/>
    <xf numFmtId="15" fontId="22" fillId="0" borderId="0" xfId="0" applyNumberFormat="1" applyFont="1"/>
    <xf numFmtId="0" fontId="15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8" fillId="2" borderId="37" xfId="2" applyNumberFormat="1" applyBorder="1"/>
    <xf numFmtId="166" fontId="22" fillId="0" borderId="8" xfId="2" applyNumberFormat="1" applyFont="1" applyFill="1" applyBorder="1"/>
    <xf numFmtId="3" fontId="22" fillId="0" borderId="8" xfId="2" applyNumberFormat="1" applyFont="1" applyFill="1" applyBorder="1"/>
    <xf numFmtId="164" fontId="0" fillId="0" borderId="17" xfId="1" applyFont="1" applyBorder="1"/>
    <xf numFmtId="0" fontId="17" fillId="0" borderId="0" xfId="0" applyFont="1"/>
    <xf numFmtId="168" fontId="10" fillId="0" borderId="0" xfId="0" applyNumberFormat="1" applyFont="1"/>
    <xf numFmtId="0" fontId="24" fillId="0" borderId="38" xfId="0" applyFont="1" applyBorder="1" applyAlignment="1">
      <alignment horizontal="right"/>
    </xf>
    <xf numFmtId="0" fontId="24" fillId="0" borderId="38" xfId="0" applyFont="1" applyBorder="1" applyAlignment="1">
      <alignment horizontal="center"/>
    </xf>
    <xf numFmtId="3" fontId="25" fillId="0" borderId="38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/>
    </xf>
    <xf numFmtId="15" fontId="18" fillId="3" borderId="0" xfId="2" applyNumberFormat="1" applyFill="1" applyBorder="1" applyAlignment="1">
      <alignment horizontal="right"/>
    </xf>
    <xf numFmtId="0" fontId="18" fillId="3" borderId="0" xfId="2" applyFill="1" applyBorder="1"/>
    <xf numFmtId="15" fontId="18" fillId="3" borderId="28" xfId="2" applyNumberFormat="1" applyFill="1" applyBorder="1" applyAlignment="1">
      <alignment horizontal="right"/>
    </xf>
    <xf numFmtId="0" fontId="18" fillId="3" borderId="28" xfId="2" applyFill="1" applyBorder="1"/>
    <xf numFmtId="166" fontId="22" fillId="0" borderId="23" xfId="2" applyNumberFormat="1" applyFont="1" applyFill="1" applyBorder="1"/>
    <xf numFmtId="3" fontId="22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6" fillId="0" borderId="2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6" fontId="2" fillId="0" borderId="4" xfId="1" applyNumberFormat="1" applyFont="1" applyBorder="1"/>
    <xf numFmtId="166" fontId="2" fillId="0" borderId="21" xfId="1" applyNumberFormat="1" applyFont="1" applyBorder="1"/>
    <xf numFmtId="166" fontId="2" fillId="0" borderId="6" xfId="1" applyNumberFormat="1" applyFont="1" applyBorder="1"/>
    <xf numFmtId="0" fontId="18" fillId="0" borderId="1" xfId="2" applyNumberFormat="1" applyFill="1" applyBorder="1"/>
    <xf numFmtId="0" fontId="18" fillId="0" borderId="7" xfId="2" applyNumberFormat="1" applyFill="1" applyBorder="1"/>
    <xf numFmtId="0" fontId="18" fillId="0" borderId="4" xfId="2" applyNumberFormat="1" applyFill="1" applyBorder="1"/>
    <xf numFmtId="0" fontId="18" fillId="0" borderId="18" xfId="2" applyNumberFormat="1" applyFill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21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8" fillId="0" borderId="6" xfId="2" applyNumberFormat="1" applyFill="1" applyBorder="1"/>
    <xf numFmtId="0" fontId="18" fillId="0" borderId="20" xfId="2" applyNumberFormat="1" applyFill="1" applyBorder="1"/>
    <xf numFmtId="15" fontId="22" fillId="3" borderId="0" xfId="2" applyNumberFormat="1" applyFont="1" applyFill="1" applyBorder="1" applyAlignment="1">
      <alignment horizontal="right"/>
    </xf>
    <xf numFmtId="0" fontId="22" fillId="3" borderId="0" xfId="2" applyFont="1" applyFill="1" applyBorder="1"/>
    <xf numFmtId="166" fontId="22" fillId="0" borderId="37" xfId="2" applyNumberFormat="1" applyFont="1" applyFill="1" applyBorder="1"/>
    <xf numFmtId="15" fontId="18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8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8" fillId="2" borderId="37" xfId="2" applyNumberFormat="1" applyBorder="1"/>
    <xf numFmtId="0" fontId="21" fillId="0" borderId="0" xfId="0" applyFont="1"/>
    <xf numFmtId="0" fontId="1" fillId="0" borderId="8" xfId="0" applyFont="1" applyBorder="1"/>
    <xf numFmtId="170" fontId="4" fillId="0" borderId="0" xfId="0" applyNumberFormat="1" applyFont="1"/>
    <xf numFmtId="170" fontId="6" fillId="0" borderId="2" xfId="0" applyNumberFormat="1" applyFont="1" applyBorder="1"/>
    <xf numFmtId="170" fontId="6" fillId="0" borderId="2" xfId="0" applyNumberFormat="1" applyFont="1" applyBorder="1" applyAlignment="1">
      <alignment horizontal="center"/>
    </xf>
    <xf numFmtId="170" fontId="6" fillId="0" borderId="0" xfId="1" applyNumberFormat="1" applyFont="1" applyBorder="1"/>
    <xf numFmtId="170" fontId="6" fillId="0" borderId="24" xfId="1" applyNumberFormat="1" applyFont="1" applyBorder="1"/>
    <xf numFmtId="170" fontId="6" fillId="0" borderId="21" xfId="1" applyNumberFormat="1" applyFont="1" applyBorder="1"/>
    <xf numFmtId="170" fontId="6" fillId="0" borderId="25" xfId="1" applyNumberFormat="1" applyFont="1" applyBorder="1"/>
    <xf numFmtId="166" fontId="6" fillId="0" borderId="7" xfId="1" applyNumberFormat="1" applyFont="1" applyBorder="1"/>
    <xf numFmtId="166" fontId="2" fillId="0" borderId="18" xfId="1" applyNumberFormat="1" applyFont="1" applyBorder="1"/>
    <xf numFmtId="166" fontId="2" fillId="0" borderId="0" xfId="1" applyNumberFormat="1" applyFont="1" applyBorder="1"/>
    <xf numFmtId="166" fontId="2" fillId="0" borderId="20" xfId="1" applyNumberFormat="1" applyFont="1" applyBorder="1"/>
    <xf numFmtId="170" fontId="6" fillId="0" borderId="19" xfId="1" applyNumberFormat="1" applyFont="1" applyBorder="1"/>
    <xf numFmtId="171" fontId="4" fillId="0" borderId="0" xfId="0" applyNumberFormat="1" applyFont="1"/>
    <xf numFmtId="171" fontId="18" fillId="2" borderId="32" xfId="2" applyNumberFormat="1"/>
    <xf numFmtId="171" fontId="18" fillId="2" borderId="44" xfId="2" applyNumberFormat="1" applyBorder="1"/>
    <xf numFmtId="171" fontId="4" fillId="0" borderId="7" xfId="0" applyNumberFormat="1" applyFont="1" applyBorder="1" applyAlignment="1">
      <alignment horizontal="center"/>
    </xf>
    <xf numFmtId="171" fontId="4" fillId="0" borderId="20" xfId="0" applyNumberFormat="1" applyFont="1" applyBorder="1"/>
    <xf numFmtId="171" fontId="4" fillId="0" borderId="3" xfId="0" applyNumberFormat="1" applyFont="1" applyBorder="1" applyAlignment="1">
      <alignment horizontal="center"/>
    </xf>
    <xf numFmtId="170" fontId="4" fillId="0" borderId="24" xfId="0" applyNumberFormat="1" applyFont="1" applyBorder="1" applyAlignment="1">
      <alignment horizontal="center"/>
    </xf>
    <xf numFmtId="170" fontId="4" fillId="0" borderId="25" xfId="0" applyNumberFormat="1" applyFont="1" applyBorder="1" applyAlignment="1">
      <alignment horizontal="right"/>
    </xf>
    <xf numFmtId="170" fontId="4" fillId="0" borderId="2" xfId="0" applyNumberFormat="1" applyFont="1" applyBorder="1" applyAlignment="1">
      <alignment horizontal="center"/>
    </xf>
    <xf numFmtId="170" fontId="18" fillId="2" borderId="32" xfId="2" applyNumberFormat="1"/>
    <xf numFmtId="170" fontId="18" fillId="2" borderId="34" xfId="2" applyNumberFormat="1" applyBorder="1"/>
    <xf numFmtId="170" fontId="18" fillId="2" borderId="44" xfId="2" applyNumberFormat="1" applyBorder="1"/>
    <xf numFmtId="170" fontId="2" fillId="0" borderId="0" xfId="0" applyNumberFormat="1" applyFont="1"/>
    <xf numFmtId="172" fontId="18" fillId="2" borderId="32" xfId="2" applyNumberFormat="1"/>
    <xf numFmtId="171" fontId="18" fillId="2" borderId="32" xfId="2" applyNumberFormat="1" applyAlignment="1">
      <alignment horizontal="right"/>
    </xf>
    <xf numFmtId="3" fontId="4" fillId="0" borderId="0" xfId="0" applyNumberFormat="1" applyFont="1"/>
    <xf numFmtId="3" fontId="4" fillId="0" borderId="2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20" xfId="0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18" fillId="2" borderId="34" xfId="2" applyNumberFormat="1" applyBorder="1"/>
    <xf numFmtId="3" fontId="18" fillId="2" borderId="32" xfId="2" applyNumberFormat="1" applyAlignment="1">
      <alignment horizontal="right"/>
    </xf>
    <xf numFmtId="3" fontId="18" fillId="2" borderId="44" xfId="2" applyNumberFormat="1" applyBorder="1"/>
    <xf numFmtId="3" fontId="2" fillId="0" borderId="0" xfId="0" applyNumberFormat="1" applyFont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7" fillId="0" borderId="31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2024/25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bestem.'!$O$56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29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bestem.'!$A$57:$A$94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bestem.'!$O$57:$O$94</c:f>
              <c:numCache>
                <c:formatCode>_ * #\ ##0_ ;_ * \-#\ ##0_ ;_ * "-"??_ ;_ @_ </c:formatCode>
                <c:ptCount val="38"/>
                <c:pt idx="0">
                  <c:v>2251</c:v>
                </c:pt>
                <c:pt idx="1">
                  <c:v>22772</c:v>
                </c:pt>
                <c:pt idx="2">
                  <c:v>29579</c:v>
                </c:pt>
                <c:pt idx="3">
                  <c:v>20040</c:v>
                </c:pt>
                <c:pt idx="4">
                  <c:v>35584</c:v>
                </c:pt>
                <c:pt idx="26">
                  <c:v>2333</c:v>
                </c:pt>
                <c:pt idx="29">
                  <c:v>488</c:v>
                </c:pt>
                <c:pt idx="32">
                  <c:v>144379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2024/25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bestem.'!$O$8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bestem.'!$O$9:$O$52</c:f>
              <c:numCache>
                <c:formatCode>_ * #\ ##0_ ;_ * \-#\ ##0_ ;_ * "-"??_ ;_ @_ </c:formatCode>
                <c:ptCount val="44"/>
                <c:pt idx="0">
                  <c:v>10259</c:v>
                </c:pt>
                <c:pt idx="1">
                  <c:v>32824</c:v>
                </c:pt>
                <c:pt idx="2">
                  <c:v>34258</c:v>
                </c:pt>
                <c:pt idx="3">
                  <c:v>256304</c:v>
                </c:pt>
                <c:pt idx="4">
                  <c:v>67029</c:v>
                </c:pt>
                <c:pt idx="5">
                  <c:v>79937</c:v>
                </c:pt>
                <c:pt idx="4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'Weekliks-Weekly'!$B$9:$B$26</c:f>
              <c:numCache>
                <c:formatCode>d\-mmm\-yy</c:formatCode>
                <c:ptCount val="1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</c:numCache>
            </c:numRef>
          </c:cat>
          <c:val>
            <c:numRef>
              <c:f>'Weekliks-Weekly'!$T$9:$T$26</c:f>
              <c:numCache>
                <c:formatCode>_ * #\ ##0_ ;_ * \-#\ ##0_ ;_ * "-"??_ ;_ @_ </c:formatCode>
                <c:ptCount val="18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38684</c:v>
                </c:pt>
                <c:pt idx="10">
                  <c:v>55110</c:v>
                </c:pt>
                <c:pt idx="11">
                  <c:v>45445</c:v>
                </c:pt>
                <c:pt idx="12">
                  <c:v>44355</c:v>
                </c:pt>
                <c:pt idx="13">
                  <c:v>42814</c:v>
                </c:pt>
                <c:pt idx="14">
                  <c:v>38131</c:v>
                </c:pt>
                <c:pt idx="15">
                  <c:v>51776</c:v>
                </c:pt>
                <c:pt idx="16">
                  <c:v>43276</c:v>
                </c:pt>
                <c:pt idx="17">
                  <c:v>39684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'Weekliks-Weekly'!$B$9:$B$26</c:f>
              <c:numCache>
                <c:formatCode>d\-mmm\-yy</c:formatCode>
                <c:ptCount val="1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</c:numCache>
            </c:numRef>
          </c:cat>
          <c:val>
            <c:numRef>
              <c:f>'Weekliks-Weekly'!$M$9:$M$26</c:f>
              <c:numCache>
                <c:formatCode>#,##0</c:formatCode>
                <c:ptCount val="18"/>
                <c:pt idx="0">
                  <c:v>14214</c:v>
                </c:pt>
                <c:pt idx="1">
                  <c:v>35849</c:v>
                </c:pt>
                <c:pt idx="2">
                  <c:v>58594</c:v>
                </c:pt>
                <c:pt idx="3">
                  <c:v>80894</c:v>
                </c:pt>
                <c:pt idx="4">
                  <c:v>109439</c:v>
                </c:pt>
                <c:pt idx="5">
                  <c:v>136216</c:v>
                </c:pt>
                <c:pt idx="6">
                  <c:v>159469</c:v>
                </c:pt>
                <c:pt idx="7">
                  <c:v>184918</c:v>
                </c:pt>
                <c:pt idx="8">
                  <c:v>214895</c:v>
                </c:pt>
                <c:pt idx="9">
                  <c:v>241323</c:v>
                </c:pt>
                <c:pt idx="10">
                  <c:v>281079</c:v>
                </c:pt>
                <c:pt idx="11">
                  <c:v>311127</c:v>
                </c:pt>
                <c:pt idx="12">
                  <c:v>343220</c:v>
                </c:pt>
                <c:pt idx="13">
                  <c:v>369990</c:v>
                </c:pt>
                <c:pt idx="14">
                  <c:v>393750</c:v>
                </c:pt>
                <c:pt idx="15">
                  <c:v>426865</c:v>
                </c:pt>
                <c:pt idx="16">
                  <c:v>456606</c:v>
                </c:pt>
                <c:pt idx="17">
                  <c:v>480748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2024/25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'Weekliks-Weekly'!$B$9:$B$26</c:f>
              <c:numCache>
                <c:formatCode>d\-mmm\-yy</c:formatCode>
                <c:ptCount val="1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</c:numCache>
            </c:numRef>
          </c:cat>
          <c:val>
            <c:numRef>
              <c:f>'Weekliks-Weekly'!$K$9:$K$26</c:f>
              <c:numCache>
                <c:formatCode>#,##0</c:formatCode>
                <c:ptCount val="18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26428</c:v>
                </c:pt>
                <c:pt idx="10">
                  <c:v>39756</c:v>
                </c:pt>
                <c:pt idx="11">
                  <c:v>30048</c:v>
                </c:pt>
                <c:pt idx="12">
                  <c:v>32093</c:v>
                </c:pt>
                <c:pt idx="13">
                  <c:v>26770</c:v>
                </c:pt>
                <c:pt idx="14">
                  <c:v>23760</c:v>
                </c:pt>
                <c:pt idx="15">
                  <c:v>33115</c:v>
                </c:pt>
                <c:pt idx="16">
                  <c:v>29741</c:v>
                </c:pt>
                <c:pt idx="17">
                  <c:v>24142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'Weekliks-Weekly'!$B$9:$B$26</c:f>
              <c:numCache>
                <c:formatCode>d\-mmm\-yy</c:formatCode>
                <c:ptCount val="1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</c:numCache>
            </c:numRef>
          </c:cat>
          <c:val>
            <c:numRef>
              <c:f>'Weekliks-Weekly'!$V$9:$V$26</c:f>
              <c:numCache>
                <c:formatCode>_ * #\ ##0_ ;_ * \-#\ ##0_ ;_ * "-"??_ ;_ @_ </c:formatCode>
                <c:ptCount val="18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377583</c:v>
                </c:pt>
                <c:pt idx="10">
                  <c:v>432693</c:v>
                </c:pt>
                <c:pt idx="11">
                  <c:v>478138</c:v>
                </c:pt>
                <c:pt idx="12">
                  <c:v>522493</c:v>
                </c:pt>
                <c:pt idx="13">
                  <c:v>565307</c:v>
                </c:pt>
                <c:pt idx="14">
                  <c:v>603438</c:v>
                </c:pt>
                <c:pt idx="15">
                  <c:v>655214</c:v>
                </c:pt>
                <c:pt idx="16">
                  <c:v>698490</c:v>
                </c:pt>
                <c:pt idx="17">
                  <c:v>738174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  <c:max val="45565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2023/24</a:t>
            </a:r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'Weekliks-Weekly'!$B$9:$B$26</c:f>
              <c:numCache>
                <c:formatCode>d\-mmm\-yy</c:formatCode>
                <c:ptCount val="1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</c:numCache>
            </c:numRef>
          </c:cat>
          <c:val>
            <c:numRef>
              <c:f>'Weekliks-Weekly'!$N$9:$N$26</c:f>
              <c:numCache>
                <c:formatCode>#,##0</c:formatCode>
                <c:ptCount val="18"/>
                <c:pt idx="0">
                  <c:v>7343</c:v>
                </c:pt>
                <c:pt idx="1">
                  <c:v>17099</c:v>
                </c:pt>
                <c:pt idx="2">
                  <c:v>29532</c:v>
                </c:pt>
                <c:pt idx="3">
                  <c:v>45032</c:v>
                </c:pt>
                <c:pt idx="4">
                  <c:v>62276</c:v>
                </c:pt>
                <c:pt idx="5">
                  <c:v>76743</c:v>
                </c:pt>
                <c:pt idx="6">
                  <c:v>94302</c:v>
                </c:pt>
                <c:pt idx="7">
                  <c:v>108475</c:v>
                </c:pt>
                <c:pt idx="8">
                  <c:v>124004</c:v>
                </c:pt>
                <c:pt idx="9">
                  <c:v>136260</c:v>
                </c:pt>
                <c:pt idx="10">
                  <c:v>151614</c:v>
                </c:pt>
                <c:pt idx="11">
                  <c:v>167011</c:v>
                </c:pt>
                <c:pt idx="12">
                  <c:v>179273</c:v>
                </c:pt>
                <c:pt idx="13">
                  <c:v>195317</c:v>
                </c:pt>
                <c:pt idx="14">
                  <c:v>209688</c:v>
                </c:pt>
                <c:pt idx="15">
                  <c:v>228349</c:v>
                </c:pt>
                <c:pt idx="16">
                  <c:v>241884</c:v>
                </c:pt>
                <c:pt idx="17">
                  <c:v>257426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'Weekliks-Weekly'!$B$9:$B$26</c:f>
              <c:numCache>
                <c:formatCode>d\-mmm\-yy</c:formatCode>
                <c:ptCount val="1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</c:numCache>
            </c:numRef>
          </c:cat>
          <c:val>
            <c:numRef>
              <c:f>'Weekliks-Weekly'!$V$9:$V$26</c:f>
              <c:numCache>
                <c:formatCode>_ * #\ ##0_ ;_ * \-#\ ##0_ ;_ * "-"??_ ;_ @_ </c:formatCode>
                <c:ptCount val="18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377583</c:v>
                </c:pt>
                <c:pt idx="10">
                  <c:v>432693</c:v>
                </c:pt>
                <c:pt idx="11">
                  <c:v>478138</c:v>
                </c:pt>
                <c:pt idx="12">
                  <c:v>522493</c:v>
                </c:pt>
                <c:pt idx="13">
                  <c:v>565307</c:v>
                </c:pt>
                <c:pt idx="14">
                  <c:v>603438</c:v>
                </c:pt>
                <c:pt idx="15">
                  <c:v>655214</c:v>
                </c:pt>
                <c:pt idx="16">
                  <c:v>698490</c:v>
                </c:pt>
                <c:pt idx="17">
                  <c:v>738174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  <c:max val="45565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'Weekliks-Weekly'!$K$9:$K$26</c:f>
              <c:numCache>
                <c:formatCode>#,##0</c:formatCode>
                <c:ptCount val="18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26428</c:v>
                </c:pt>
                <c:pt idx="10">
                  <c:v>39756</c:v>
                </c:pt>
                <c:pt idx="11">
                  <c:v>30048</c:v>
                </c:pt>
                <c:pt idx="12">
                  <c:v>32093</c:v>
                </c:pt>
                <c:pt idx="13">
                  <c:v>26770</c:v>
                </c:pt>
                <c:pt idx="14">
                  <c:v>23760</c:v>
                </c:pt>
                <c:pt idx="15">
                  <c:v>33115</c:v>
                </c:pt>
                <c:pt idx="16">
                  <c:v>29741</c:v>
                </c:pt>
                <c:pt idx="17">
                  <c:v>24142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'Vorige Weekliks-Previous 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'Weekliks-Weekly'!$L$9:$L$26</c:f>
              <c:numCache>
                <c:formatCode>#,##0</c:formatCode>
                <c:ptCount val="18"/>
                <c:pt idx="0">
                  <c:v>7343</c:v>
                </c:pt>
                <c:pt idx="1">
                  <c:v>9756</c:v>
                </c:pt>
                <c:pt idx="2">
                  <c:v>12433</c:v>
                </c:pt>
                <c:pt idx="3">
                  <c:v>15500</c:v>
                </c:pt>
                <c:pt idx="4">
                  <c:v>17244</c:v>
                </c:pt>
                <c:pt idx="5">
                  <c:v>14467</c:v>
                </c:pt>
                <c:pt idx="6">
                  <c:v>17559</c:v>
                </c:pt>
                <c:pt idx="7">
                  <c:v>14173</c:v>
                </c:pt>
                <c:pt idx="8">
                  <c:v>15529</c:v>
                </c:pt>
                <c:pt idx="9">
                  <c:v>12256</c:v>
                </c:pt>
                <c:pt idx="10">
                  <c:v>15354</c:v>
                </c:pt>
                <c:pt idx="11">
                  <c:v>15397</c:v>
                </c:pt>
                <c:pt idx="12">
                  <c:v>12262</c:v>
                </c:pt>
                <c:pt idx="13">
                  <c:v>16044</c:v>
                </c:pt>
                <c:pt idx="14">
                  <c:v>14371</c:v>
                </c:pt>
                <c:pt idx="15">
                  <c:v>18661</c:v>
                </c:pt>
                <c:pt idx="16">
                  <c:v>13535</c:v>
                </c:pt>
                <c:pt idx="17">
                  <c:v>15542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'Weekliks-Weekly'!$T$9:$T$26</c:f>
              <c:numCache>
                <c:formatCode>_ * #\ ##0_ ;_ * \-#\ ##0_ ;_ * "-"??_ ;_ @_ </c:formatCode>
                <c:ptCount val="18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38684</c:v>
                </c:pt>
                <c:pt idx="10">
                  <c:v>55110</c:v>
                </c:pt>
                <c:pt idx="11">
                  <c:v>45445</c:v>
                </c:pt>
                <c:pt idx="12">
                  <c:v>44355</c:v>
                </c:pt>
                <c:pt idx="13">
                  <c:v>42814</c:v>
                </c:pt>
                <c:pt idx="14">
                  <c:v>38131</c:v>
                </c:pt>
                <c:pt idx="15">
                  <c:v>51776</c:v>
                </c:pt>
                <c:pt idx="16">
                  <c:v>43276</c:v>
                </c:pt>
                <c:pt idx="17">
                  <c:v>39684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  <c:max val="45565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'Weekliks-Weekly'!$M$9:$M$26</c15:sqref>
                  </c15:fullRef>
                </c:ext>
              </c:extLst>
              <c:f>('Weekliks-Weekly'!$M$9,'Weekliks-Weekly'!$M$11:$M$26)</c:f>
              <c:numCache>
                <c:formatCode>#,##0</c:formatCode>
                <c:ptCount val="17"/>
                <c:pt idx="0">
                  <c:v>14214</c:v>
                </c:pt>
                <c:pt idx="1">
                  <c:v>58594</c:v>
                </c:pt>
                <c:pt idx="2">
                  <c:v>80894</c:v>
                </c:pt>
                <c:pt idx="3">
                  <c:v>109439</c:v>
                </c:pt>
                <c:pt idx="4">
                  <c:v>136216</c:v>
                </c:pt>
                <c:pt idx="5">
                  <c:v>159469</c:v>
                </c:pt>
                <c:pt idx="6">
                  <c:v>184918</c:v>
                </c:pt>
                <c:pt idx="7">
                  <c:v>214895</c:v>
                </c:pt>
                <c:pt idx="8">
                  <c:v>241323</c:v>
                </c:pt>
                <c:pt idx="9">
                  <c:v>281079</c:v>
                </c:pt>
                <c:pt idx="10">
                  <c:v>311127</c:v>
                </c:pt>
                <c:pt idx="11">
                  <c:v>343220</c:v>
                </c:pt>
                <c:pt idx="12">
                  <c:v>369990</c:v>
                </c:pt>
                <c:pt idx="13">
                  <c:v>393750</c:v>
                </c:pt>
                <c:pt idx="14">
                  <c:v>426865</c:v>
                </c:pt>
                <c:pt idx="15">
                  <c:v>456606</c:v>
                </c:pt>
                <c:pt idx="16">
                  <c:v>480748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'Weekliks-Weekly'!$T$9:$T$26</c15:sqref>
                  </c15:fullRef>
                </c:ext>
              </c:extLst>
              <c:f>('Weekliks-Weekly'!$T$9,'Weekliks-Weekly'!$T$11:$T$26)</c:f>
              <c:numCache>
                <c:formatCode>_ * #\ ##0_ ;_ * \-#\ ##0_ ;_ * "-"??_ ;_ @_ </c:formatCode>
                <c:ptCount val="17"/>
                <c:pt idx="0">
                  <c:v>21557</c:v>
                </c:pt>
                <c:pt idx="1">
                  <c:v>35178</c:v>
                </c:pt>
                <c:pt idx="2">
                  <c:v>37800</c:v>
                </c:pt>
                <c:pt idx="3">
                  <c:v>45789</c:v>
                </c:pt>
                <c:pt idx="4">
                  <c:v>41244</c:v>
                </c:pt>
                <c:pt idx="5">
                  <c:v>40812</c:v>
                </c:pt>
                <c:pt idx="6">
                  <c:v>39622</c:v>
                </c:pt>
                <c:pt idx="7">
                  <c:v>45506</c:v>
                </c:pt>
                <c:pt idx="8">
                  <c:v>38684</c:v>
                </c:pt>
                <c:pt idx="9">
                  <c:v>55110</c:v>
                </c:pt>
                <c:pt idx="10">
                  <c:v>45445</c:v>
                </c:pt>
                <c:pt idx="11">
                  <c:v>44355</c:v>
                </c:pt>
                <c:pt idx="12">
                  <c:v>42814</c:v>
                </c:pt>
                <c:pt idx="13">
                  <c:v>38131</c:v>
                </c:pt>
                <c:pt idx="14">
                  <c:v>51776</c:v>
                </c:pt>
                <c:pt idx="15">
                  <c:v>43276</c:v>
                </c:pt>
                <c:pt idx="16">
                  <c:v>39684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  <c:max val="45565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1218544253651285E-5"/>
              <c:y val="0.40316228188011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Sheet1!$O$1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Sheet1!$O$2:$O$53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"/>
  <sheetViews>
    <sheetView topLeftCell="A79" zoomScale="126" zoomScaleNormal="126" workbookViewId="0">
      <selection activeCell="P96" sqref="P96"/>
    </sheetView>
  </sheetViews>
  <sheetFormatPr defaultRowHeight="13.2" x14ac:dyDescent="0.25"/>
  <cols>
    <col min="1" max="1" width="31" customWidth="1"/>
    <col min="2" max="2" width="9.6640625" hidden="1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66" hidden="1" customWidth="1"/>
    <col min="11" max="13" width="11.33203125" hidden="1" customWidth="1"/>
    <col min="14" max="15" width="11.33203125" customWidth="1"/>
    <col min="16" max="16" width="10.44140625" customWidth="1"/>
    <col min="17" max="17" width="48.33203125" customWidth="1"/>
    <col min="18" max="18" width="14" bestFit="1" customWidth="1"/>
    <col min="19" max="19" width="13.33203125" customWidth="1"/>
    <col min="20" max="20" width="12.109375" customWidth="1"/>
  </cols>
  <sheetData>
    <row r="1" spans="1:20" x14ac:dyDescent="0.25">
      <c r="A1" s="1" t="s">
        <v>247</v>
      </c>
      <c r="B1" s="1"/>
      <c r="C1" s="1"/>
      <c r="D1" s="1"/>
    </row>
    <row r="2" spans="1:20" x14ac:dyDescent="0.25">
      <c r="A2" s="1" t="s">
        <v>9</v>
      </c>
      <c r="B2" s="1"/>
      <c r="C2" s="1"/>
      <c r="D2" s="1"/>
    </row>
    <row r="4" spans="1:20" x14ac:dyDescent="0.25">
      <c r="A4" s="55" t="s">
        <v>248</v>
      </c>
      <c r="C4" s="56">
        <f>G5</f>
        <v>45534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20" ht="14.4" x14ac:dyDescent="0.3">
      <c r="B5" s="86"/>
      <c r="C5" s="86"/>
      <c r="D5" s="86"/>
      <c r="G5" s="107">
        <f>'Weekliks-Weekly'!B26</f>
        <v>45534</v>
      </c>
      <c r="H5" s="135"/>
      <c r="I5" s="133"/>
      <c r="J5" s="161"/>
      <c r="K5" s="133"/>
      <c r="L5" s="133"/>
      <c r="M5" s="133"/>
      <c r="N5" s="133"/>
      <c r="O5" s="133"/>
    </row>
    <row r="6" spans="1:20" ht="15" thickBot="1" x14ac:dyDescent="0.35">
      <c r="A6" t="s">
        <v>59</v>
      </c>
      <c r="G6" s="108">
        <f>53-18</f>
        <v>35</v>
      </c>
      <c r="H6" s="136"/>
      <c r="I6" s="134"/>
      <c r="J6" s="162"/>
      <c r="K6" s="134"/>
      <c r="L6" s="134"/>
      <c r="M6" s="134"/>
      <c r="N6" s="134"/>
      <c r="O6" s="134"/>
      <c r="Q6" s="1" t="s">
        <v>91</v>
      </c>
    </row>
    <row r="7" spans="1:20" x14ac:dyDescent="0.25">
      <c r="A7" s="1" t="s">
        <v>1</v>
      </c>
      <c r="B7" s="1"/>
      <c r="C7" s="1"/>
      <c r="D7" s="1"/>
      <c r="H7" s="53"/>
      <c r="I7" s="53"/>
      <c r="K7" s="1"/>
      <c r="L7" s="1"/>
      <c r="M7" s="1"/>
      <c r="N7" s="1" t="s">
        <v>244</v>
      </c>
      <c r="O7" s="1" t="s">
        <v>244</v>
      </c>
      <c r="Q7" s="27"/>
      <c r="R7" s="23" t="s">
        <v>10</v>
      </c>
      <c r="S7" s="23" t="s">
        <v>11</v>
      </c>
      <c r="T7" s="24" t="s">
        <v>40</v>
      </c>
    </row>
    <row r="8" spans="1:20" x14ac:dyDescent="0.25">
      <c r="B8" s="86" t="s">
        <v>104</v>
      </c>
      <c r="C8" s="86" t="s">
        <v>105</v>
      </c>
      <c r="D8" s="156" t="s">
        <v>108</v>
      </c>
      <c r="E8" s="156" t="s">
        <v>112</v>
      </c>
      <c r="F8" s="156" t="s">
        <v>111</v>
      </c>
      <c r="G8" s="156" t="s">
        <v>126</v>
      </c>
      <c r="H8" s="156" t="s">
        <v>223</v>
      </c>
      <c r="I8" s="156" t="s">
        <v>230</v>
      </c>
      <c r="J8" s="156" t="s">
        <v>240</v>
      </c>
      <c r="K8" s="156" t="s">
        <v>243</v>
      </c>
      <c r="L8" s="156" t="s">
        <v>246</v>
      </c>
      <c r="M8" s="156" t="s">
        <v>258</v>
      </c>
      <c r="N8" s="156" t="s">
        <v>266</v>
      </c>
      <c r="O8" s="156" t="s">
        <v>270</v>
      </c>
      <c r="Q8" s="28" t="s">
        <v>12</v>
      </c>
      <c r="R8" s="22">
        <f>L14</f>
        <v>243807</v>
      </c>
      <c r="S8" s="22">
        <f>L61</f>
        <v>11468</v>
      </c>
      <c r="T8" s="29">
        <f>SUM(R8:S8)</f>
        <v>255275</v>
      </c>
    </row>
    <row r="9" spans="1:20" ht="14.4" x14ac:dyDescent="0.3">
      <c r="A9" s="37" t="s">
        <v>241</v>
      </c>
      <c r="B9" s="37">
        <v>12890</v>
      </c>
      <c r="C9" s="21">
        <f>555+35+215+798+376+1230+1454+637+78+297+2470+1069+900+274+1664+770+1034+1133+619+2257+286+336+1270+651+215</f>
        <v>20623</v>
      </c>
      <c r="D9" s="101">
        <f>310+315+485+483+136+781+929+1115+929+274+489+464+499+314+31+92+958+612+186+204+101+54+15+40+507+874+516+444+556+597+322+1091+71+1512+1461+240+587+404</f>
        <v>18998</v>
      </c>
      <c r="E9" s="111">
        <f>12+298+655+339+517+859+944+725+1023+706+652+630+763+378+796+343+70+1276+548+1093+1440+713+671+448+1044+1460+870+286+1255+580+953+69+306+382+112+209+854+388+146+228+37+89+77</f>
        <v>25244</v>
      </c>
      <c r="F9" s="124">
        <f>154+354+25+1723+2524+137+2911+791+1087+914+613+1024+415+21+445+3901+1810+1615+553+1073+1035+655+837+142+34+34+34+68+67+103+238+735+1300+700+135+33+1118+172</f>
        <v>29530</v>
      </c>
      <c r="G9" s="137">
        <f>33+136+66+862+2158+1432+958+971+578+2133+1333+425+313+1664+99+584+139+1945+1676+1938+999+1073+1235+2290+1935+2241+1418+1755+929+869+980+1339+2426+847+1375+1542+2881+950+36+2985+574+861+1088+361+592</f>
        <v>53024</v>
      </c>
      <c r="H9" s="124">
        <f>872+296+560+500+1151+850+494+208+386+594+304+331+136+476+164+505+135+1296+221+309+549+549+757+67+177+155+218+141+1176+841+108+33+1752+412+2711+4+1074+1581+1126+788+721+1343+1431</f>
        <v>27502</v>
      </c>
      <c r="I9" s="124">
        <f>770+480+342+759+539+448+1521+102+277+776+674+918+1123+869+1388+1232+137+281+210</f>
        <v>12846</v>
      </c>
      <c r="J9" s="124">
        <f>1284+817+1781+1941+736+1642+1179+1117+1627+920+544+865+1321+1113+1613+900+74+502+954+1136+1391+2084+1981+1203+912+794+1636+688+485+410+137+645+993+803+68+196+474+1300+866+1114+858</f>
        <v>41104</v>
      </c>
      <c r="K9" s="124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24">
        <f>1369+1996+1830+1562+1510+952+980+798+949+841+932+1166+2085+1668+1915+871+1445+877+709+950+819+1958+1647+1294+1062+773+650+544+834+316+1169+505+608+341+476+36+35+107+481+312+278+546+1985+316+1142</f>
        <v>43639</v>
      </c>
      <c r="M9" s="124">
        <f>796+959+1083+1087+781+741+1747+683+740+1630+1930+1041+309+1218+2395+1827+1047+432+1269+671+944+1185+1417+1412+689+449+349+104+64+350+318+101+411+760+376+2917+1584+738+777</f>
        <v>37331</v>
      </c>
      <c r="N9" s="124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23">
        <f>1084+971+137+168+452+344+1780+628+634+414+391+1917+1339</f>
        <v>10259</v>
      </c>
      <c r="Q9" s="28" t="s">
        <v>15</v>
      </c>
      <c r="R9" s="22">
        <f>L10</f>
        <v>51700</v>
      </c>
      <c r="S9" s="22">
        <f>L57</f>
        <v>325</v>
      </c>
      <c r="T9" s="29">
        <f>SUM(R9:S9)</f>
        <v>52025</v>
      </c>
    </row>
    <row r="10" spans="1:20" ht="14.4" x14ac:dyDescent="0.3">
      <c r="A10" s="37" t="s">
        <v>15</v>
      </c>
      <c r="B10" s="37">
        <v>139001</v>
      </c>
      <c r="C10" s="21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101">
        <f>1005+574+888+1545+1054+1089+1831+527+308+723+1365+2599+1095+181+749+2095+1761+310+483+1012+2552+836+792+46+1045+1775+1813+2506+2355+2536+1631+1949+560+1691+354+243+397+934+1291+1295+843</f>
        <v>48638</v>
      </c>
      <c r="E10" s="111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24">
        <f>2662+670+602+178+233+615+305+404+1201+2406+3246+1082+265+199+1168+1165+252+4875+2385+2481+1637+1305+1755+879+349+2365+823+150+1395+396+695+465+4284+3728+4148+3254+3005+2259+131+65+1421+292+401+863+527</f>
        <v>62986</v>
      </c>
      <c r="G10" s="137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24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24">
        <f>1011+307+396+1386+847+2003+1267+1319+880+2242+106+228+3566+7754+647+475+383+1225+32+12+1561+440+134+2177+633+229+563+2774+726+8+441+936+3133+308+668+1408</f>
        <v>42225</v>
      </c>
      <c r="J10" s="124">
        <f>418+864+132+1163+2075+1319+1638+1105+396+438+974+855+4699+1143+542+264+162+913+1314+2210+1641+1111+119+2004+584+969+1025+1632+609+210+1294+1906+1613+2457+2103+1430+1596+994+1934+879+52+654+1276+308+712</f>
        <v>51736</v>
      </c>
      <c r="K10" s="124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24">
        <f>2229+1257+64+4840+936+1039+299+1832+1320+1848+567+1234+877+536+508+242+1340+1676+3426+1338+2294+1393+4050+1317+1348+1255+1436+1681+1500+1852+584+1209+1184+649+745+273+536+447+539</f>
        <v>51700</v>
      </c>
      <c r="M10" s="124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24">
        <f>302+302+501+3937+1119+1564+1656+1091+4388+2771+757+3173+1028+1807+6723+1104+1129+635+3720+618+596+900+3177+1755+1789+1757+4469+880+440+6079+4660+488</f>
        <v>65315</v>
      </c>
      <c r="O10" s="123">
        <f>1007+1348+1272+1039+1779+1809+2416+2201+2500+3020+2466+2371+2696+5483+499+606+312</f>
        <v>32824</v>
      </c>
      <c r="Q10" s="28" t="s">
        <v>17</v>
      </c>
      <c r="R10" s="22">
        <f>L13</f>
        <v>116174</v>
      </c>
      <c r="S10" s="22">
        <f>L60</f>
        <v>44097</v>
      </c>
      <c r="T10" s="29">
        <f>SUM(R10:S10)</f>
        <v>160271</v>
      </c>
    </row>
    <row r="11" spans="1:20" ht="14.4" x14ac:dyDescent="0.3">
      <c r="A11" s="37" t="s">
        <v>18</v>
      </c>
      <c r="B11" s="37">
        <v>65301</v>
      </c>
      <c r="C11" s="21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101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111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24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37">
        <f>431+270+133+1268+1316+127+739+1238+1950+1733+535+1814+1038+1382+1576+1256+2107+5198+936+837+266+330+494+173+305+507+609+355+858+1696+1109+732+702+700+133+69+290+2375+1434+1378+814+796</f>
        <v>42009</v>
      </c>
      <c r="H11" s="124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24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24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24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24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24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24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23">
        <f>1314+1821+2524+2712+2385+2489+752+11354+691+189+909+71+1204+1095+1677+1134+923+1014</f>
        <v>34258</v>
      </c>
      <c r="Q11" s="28" t="s">
        <v>13</v>
      </c>
      <c r="R11" s="22">
        <f>L9</f>
        <v>43639</v>
      </c>
      <c r="S11" s="22">
        <f>L59</f>
        <v>99070</v>
      </c>
      <c r="T11" s="29">
        <f>SUM(R11:S11)</f>
        <v>142709</v>
      </c>
    </row>
    <row r="12" spans="1:20" ht="15.6" customHeight="1" thickBot="1" x14ac:dyDescent="0.35">
      <c r="A12" s="37" t="s">
        <v>14</v>
      </c>
      <c r="B12" s="37">
        <v>352</v>
      </c>
      <c r="C12" s="21">
        <f>1189+572+171+1660+947+880+484+176</f>
        <v>6079</v>
      </c>
      <c r="D12" s="101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111">
        <f>508+74+792+2224+1364+682+2860+2552+2200+1185+836+1848+792+2508+1100+1232+2387+2288+1450+1844+0+2499+5101+5415+4184+4330+1500+650+2625+529</f>
        <v>57559</v>
      </c>
      <c r="F12" s="124">
        <f>632+740+1494+2640+2508+3651+4311+4224+3300+2728+1012+1760+3080+2420+1980</f>
        <v>36480</v>
      </c>
      <c r="G12" s="137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24">
        <f>35+36+109+109+1100+880+2156+1276+111+35+35+99+272+1185+3039</f>
        <v>10477</v>
      </c>
      <c r="I12" s="124"/>
      <c r="J12" s="124">
        <f>14517+8245+7549+14757+20712+13141+17226+21883+18560+15913+17442+21347+17457+13688+8650+6478+3984+3090+3118+2333+1651+1310+1036+2599+1300+34+135+34+64+906</f>
        <v>259159</v>
      </c>
      <c r="K12" s="124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24">
        <f>4+11+475+1256+921+1949</f>
        <v>4616</v>
      </c>
      <c r="M12" s="124">
        <f>7851+8066+4756+6449+15625+5016+7767+1712+5073+6849+4287+2709+2091+4576+2606+1536+3065+1547+1026+2328+489+452+3074+880+1364+2268+1891+596+1895+1257+1907+1312+1098+878</f>
        <v>114296</v>
      </c>
      <c r="N12" s="124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23">
        <f>14304+16742+18884+12036+13406+18103+19351+19498+16931+19506+14095+10725+13365+11172+11058+10348+10152+6628</f>
        <v>256304</v>
      </c>
      <c r="Q12" s="30" t="s">
        <v>19</v>
      </c>
      <c r="R12" s="31">
        <f>SUM(R8:R11)</f>
        <v>455320</v>
      </c>
      <c r="S12" s="31">
        <f>SUM(S8:S11)</f>
        <v>154960</v>
      </c>
      <c r="T12" s="32">
        <f>SUM(R12:S12)</f>
        <v>610280</v>
      </c>
    </row>
    <row r="13" spans="1:20" ht="14.4" x14ac:dyDescent="0.3">
      <c r="A13" s="37" t="s">
        <v>17</v>
      </c>
      <c r="B13" s="37">
        <v>37759</v>
      </c>
      <c r="C13" s="21">
        <f>2765+2237+3193+2301+2796+3816+4022+4320+3409+7642+1250+4861+2643+4705+2924+2477+237+4181+1347+1484+1477+100+135+30+94+96+521+66+51+1045</f>
        <v>66225</v>
      </c>
      <c r="D13" s="101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111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24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37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24">
        <f>1687+3385+2873+1928+2386+3420+2940+2712+3185+2841+3423+3234+2791+3362+2478+120+118+62+150+94+58+90+10+60+89+120+91+175+116+59+55+59+86+1+89+28+342+236+236+637+1887+2007+2098+2196+2060</f>
        <v>56074</v>
      </c>
      <c r="I13" s="124">
        <f>2568+2374+2186+2379+1766+2725+2406+2926+70+509+1845+2782+2589+2892+2930+2633+1461+380+618+2939+1989</f>
        <v>42967</v>
      </c>
      <c r="J13" s="124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24">
        <f>3471+4581+5195+3224+2506+4474+4111+3823+3044+3046+3356+3629+3516+4231+4386+3719+4230+599+282+3690+5693+3934+3532+3790+3553+3086+2308+2371+353+11+1991+263+1116+1498+1762+1263+1297+2818</f>
        <v>109752</v>
      </c>
      <c r="L13" s="124">
        <f>4072+4042+4174+4657+4550+5197+5577+6095+5816+5715+5855+4714+5545+6113+5182+4019+2584+1754+3756+4225+4447+4718+3166+2470+1663+36+104+257+2480+3191</f>
        <v>116174</v>
      </c>
      <c r="M13" s="124">
        <f>4356+5177+3969+4342+6952+4924+5495+5975+3719+4439+4394+4433+3467+4488+4822+5673+4281+1718+3665+5943+4702+2562+1882</f>
        <v>101378</v>
      </c>
      <c r="N13" s="124">
        <f>5520+6730+6906+4235+3330+6714+5374+5968+4911+5850+6320+5207+5507+5269+5663+5776+3624+696+4066+5153+6264+5626+5956+4555+4174+4571+4153+4522+4697+3536+4472+4582+3757+4292+1806+2592+2147+647+237+181+469+72</f>
        <v>176127</v>
      </c>
      <c r="O13" s="123">
        <f>2529+4925+4968+3892+4919+4948+5054+3580+3212+2756+3199+3873+3733+4407+2622+4204+1789+2419</f>
        <v>67029</v>
      </c>
      <c r="Q13" s="1"/>
      <c r="R13" s="36"/>
      <c r="S13" s="36"/>
      <c r="T13" s="36"/>
    </row>
    <row r="14" spans="1:20" ht="14.4" x14ac:dyDescent="0.3">
      <c r="A14" s="37" t="s">
        <v>12</v>
      </c>
      <c r="B14" s="37">
        <v>149901</v>
      </c>
      <c r="C14" s="21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101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111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24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37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24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24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24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24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24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24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24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23">
        <f>3904+4905+4496+3944+4113+4676+2023+3123+3094+4162+4780+4364+5151+5754+6030+6062+6542+2814</f>
        <v>79937</v>
      </c>
      <c r="Q14" s="1"/>
      <c r="R14" s="36"/>
      <c r="S14" s="36"/>
      <c r="T14" s="36"/>
    </row>
    <row r="15" spans="1:20" ht="15" thickBot="1" x14ac:dyDescent="0.35">
      <c r="A15" s="37" t="s">
        <v>69</v>
      </c>
      <c r="B15" s="37">
        <v>1162100</v>
      </c>
      <c r="C15" s="21">
        <f>41799+7929+33870+5287+34531+16808+21292+9016+33661+23950+35584+31309+33991+6700+29671+25192+50399+87300+26999+61633+74765+14729+81000+32550</f>
        <v>819965</v>
      </c>
      <c r="D15" s="101">
        <f>19803+18866+8186+31763+4804+33834+7893+28248+36700</f>
        <v>190097</v>
      </c>
      <c r="E15" s="111"/>
      <c r="F15" s="124"/>
      <c r="G15" s="137"/>
      <c r="H15" s="124"/>
      <c r="I15" s="124"/>
      <c r="J15" s="124"/>
      <c r="K15" s="124"/>
      <c r="L15" s="124"/>
      <c r="M15" s="124">
        <f>35493+5034+17540+27460+50100+18415+36121+17070+4251+7031+4718+29287+23558+20442+40400</f>
        <v>336920</v>
      </c>
      <c r="N15" s="124"/>
      <c r="O15" s="123"/>
      <c r="Q15" s="1" t="s">
        <v>86</v>
      </c>
    </row>
    <row r="16" spans="1:20" ht="14.4" x14ac:dyDescent="0.3">
      <c r="A16" s="37" t="s">
        <v>21</v>
      </c>
      <c r="B16" s="37"/>
      <c r="C16" s="22"/>
      <c r="D16" s="102">
        <v>2369</v>
      </c>
      <c r="E16" s="112"/>
      <c r="F16" s="125"/>
      <c r="G16" s="138"/>
      <c r="H16" s="125"/>
      <c r="I16" s="125"/>
      <c r="J16" s="124"/>
      <c r="K16" s="124"/>
      <c r="L16" s="124">
        <f>309+549+1195+652+858+515+4704+1034+241+483+692+340+342+276+1387+205+445+549+307+410+479+136+272+102+272+204+170+34+102</f>
        <v>17264</v>
      </c>
      <c r="M16" s="124">
        <v>0</v>
      </c>
      <c r="N16" s="124"/>
      <c r="O16" s="123"/>
      <c r="Q16" s="27"/>
      <c r="R16" s="23" t="s">
        <v>10</v>
      </c>
      <c r="S16" s="23" t="s">
        <v>11</v>
      </c>
      <c r="T16" s="24" t="s">
        <v>40</v>
      </c>
    </row>
    <row r="17" spans="1:23" ht="14.4" x14ac:dyDescent="0.3">
      <c r="A17" s="37" t="s">
        <v>41</v>
      </c>
      <c r="B17" s="37"/>
      <c r="C17" s="21"/>
      <c r="D17" s="101"/>
      <c r="E17" s="111"/>
      <c r="F17" s="124"/>
      <c r="G17" s="137"/>
      <c r="H17" s="124"/>
      <c r="I17" s="124"/>
      <c r="J17" s="124"/>
      <c r="K17" s="124"/>
      <c r="L17" s="124"/>
      <c r="M17" s="124"/>
      <c r="N17" s="124"/>
      <c r="O17" s="123"/>
      <c r="Q17" s="28" t="s">
        <v>87</v>
      </c>
      <c r="R17" s="95">
        <f>L9+L10+L11+L12+L13+L14</f>
        <v>532952</v>
      </c>
      <c r="S17" s="95">
        <f>L57+L58+L59+L60+L61+L65+L89+L86</f>
        <v>214392</v>
      </c>
      <c r="T17" s="29">
        <f>SUM(R17:S17)</f>
        <v>747344</v>
      </c>
      <c r="V17" s="2"/>
      <c r="W17" s="2"/>
    </row>
    <row r="18" spans="1:23" ht="14.4" x14ac:dyDescent="0.3">
      <c r="A18" s="37" t="s">
        <v>79</v>
      </c>
      <c r="B18" s="37"/>
      <c r="C18" s="21"/>
      <c r="D18" s="101"/>
      <c r="E18" s="111"/>
      <c r="F18" s="124"/>
      <c r="G18" s="137"/>
      <c r="H18" s="124"/>
      <c r="I18" s="124"/>
      <c r="J18" s="124"/>
      <c r="K18" s="124"/>
      <c r="L18" s="124"/>
      <c r="M18" s="124"/>
      <c r="N18" s="124"/>
      <c r="O18" s="123"/>
      <c r="Q18" s="58" t="s">
        <v>226</v>
      </c>
      <c r="R18" s="95">
        <f>L35</f>
        <v>174382</v>
      </c>
      <c r="S18" s="95">
        <f>L62+L63+L73+L88+L91+L93</f>
        <v>2652412</v>
      </c>
      <c r="T18" s="29">
        <f>SUM(R18:S18)</f>
        <v>2826794</v>
      </c>
    </row>
    <row r="19" spans="1:23" ht="15" thickBot="1" x14ac:dyDescent="0.35">
      <c r="A19" s="37" t="s">
        <v>42</v>
      </c>
      <c r="B19" s="37"/>
      <c r="C19" s="21"/>
      <c r="D19" s="101">
        <v>1058</v>
      </c>
      <c r="E19" s="111"/>
      <c r="F19" s="124"/>
      <c r="G19" s="137"/>
      <c r="H19" s="124"/>
      <c r="I19" s="124"/>
      <c r="J19" s="124"/>
      <c r="K19" s="124"/>
      <c r="L19" s="124"/>
      <c r="M19" s="124"/>
      <c r="N19" s="124"/>
      <c r="O19" s="123"/>
      <c r="Q19" s="30" t="s">
        <v>19</v>
      </c>
      <c r="R19" s="31">
        <f>SUM(R17:R18)</f>
        <v>707334</v>
      </c>
      <c r="S19" s="31">
        <f>SUM(S17:S18)</f>
        <v>2866804</v>
      </c>
      <c r="T19" s="32">
        <f>SUM(R19:S19)</f>
        <v>3574138</v>
      </c>
    </row>
    <row r="20" spans="1:23" ht="14.4" x14ac:dyDescent="0.3">
      <c r="A20" s="37" t="s">
        <v>76</v>
      </c>
      <c r="B20" s="37"/>
      <c r="C20" s="21">
        <f>43+774+645</f>
        <v>1462</v>
      </c>
      <c r="D20" s="101"/>
      <c r="E20" s="111"/>
      <c r="F20" s="124"/>
      <c r="G20" s="137"/>
      <c r="H20" s="124"/>
      <c r="I20" s="124"/>
      <c r="J20" s="124"/>
      <c r="K20" s="124"/>
      <c r="L20" s="124"/>
      <c r="M20" s="124"/>
      <c r="N20" s="124"/>
      <c r="O20" s="123"/>
      <c r="Q20" s="1"/>
      <c r="R20" s="36"/>
      <c r="S20" s="36"/>
      <c r="T20" s="36"/>
    </row>
    <row r="21" spans="1:23" ht="14.4" x14ac:dyDescent="0.3">
      <c r="A21" s="37" t="s">
        <v>68</v>
      </c>
      <c r="B21" s="37"/>
      <c r="C21" s="21"/>
      <c r="D21" s="101"/>
      <c r="E21" s="111"/>
      <c r="F21" s="124"/>
      <c r="G21" s="137"/>
      <c r="H21" s="124"/>
      <c r="I21" s="124"/>
      <c r="J21" s="124"/>
      <c r="K21" s="124"/>
      <c r="L21" s="124"/>
      <c r="M21" s="124"/>
      <c r="N21" s="124"/>
      <c r="O21" s="123"/>
      <c r="Q21" s="1"/>
      <c r="R21" s="36"/>
      <c r="S21" s="36"/>
      <c r="T21" s="36"/>
    </row>
    <row r="22" spans="1:23" ht="14.4" x14ac:dyDescent="0.3">
      <c r="A22" s="37" t="s">
        <v>77</v>
      </c>
      <c r="B22" s="37"/>
      <c r="C22" s="21"/>
      <c r="D22" s="101"/>
      <c r="E22" s="111"/>
      <c r="F22" s="124"/>
      <c r="G22" s="137"/>
      <c r="H22" s="124"/>
      <c r="I22" s="124"/>
      <c r="J22" s="124"/>
      <c r="K22" s="124"/>
      <c r="L22" s="124"/>
      <c r="M22" s="124"/>
      <c r="N22" s="124"/>
      <c r="O22" s="123"/>
      <c r="Q22" s="1"/>
      <c r="R22" s="36"/>
      <c r="S22" s="36"/>
      <c r="T22" s="36"/>
    </row>
    <row r="23" spans="1:23" ht="14.4" x14ac:dyDescent="0.3">
      <c r="A23" s="37" t="s">
        <v>61</v>
      </c>
      <c r="B23" s="37"/>
      <c r="C23" s="21"/>
      <c r="D23" s="101"/>
      <c r="E23" s="111"/>
      <c r="F23" s="124"/>
      <c r="G23" s="137"/>
      <c r="H23" s="124"/>
      <c r="I23" s="124"/>
      <c r="J23" s="124"/>
      <c r="K23" s="124"/>
      <c r="L23" s="124"/>
      <c r="M23" s="124"/>
      <c r="N23" s="124"/>
      <c r="O23" s="123"/>
      <c r="Q23" s="1"/>
      <c r="R23" s="36"/>
      <c r="S23" s="36"/>
      <c r="T23" s="36"/>
    </row>
    <row r="24" spans="1:23" ht="15" thickBot="1" x14ac:dyDescent="0.35">
      <c r="A24" s="37" t="s">
        <v>242</v>
      </c>
      <c r="B24" s="37"/>
      <c r="C24" s="21"/>
      <c r="D24" s="101"/>
      <c r="E24" s="111"/>
      <c r="F24" s="124"/>
      <c r="G24" s="137"/>
      <c r="H24" s="124"/>
      <c r="I24" s="124"/>
      <c r="J24" s="124"/>
      <c r="K24" s="124"/>
      <c r="L24" s="124"/>
      <c r="M24" s="124"/>
      <c r="N24" s="124"/>
      <c r="O24" s="123"/>
      <c r="Q24" s="76"/>
      <c r="R24" s="77"/>
      <c r="S24" s="77"/>
      <c r="T24" s="77"/>
    </row>
    <row r="25" spans="1:23" ht="14.4" x14ac:dyDescent="0.3">
      <c r="A25" s="37" t="s">
        <v>72</v>
      </c>
      <c r="B25" s="37"/>
      <c r="C25" s="21"/>
      <c r="D25" s="101"/>
      <c r="E25" s="111"/>
      <c r="F25" s="124"/>
      <c r="G25" s="137"/>
      <c r="H25" s="124"/>
      <c r="I25" s="124">
        <f>38509</f>
        <v>38509</v>
      </c>
      <c r="J25" s="124">
        <f>35521+14360+24140</f>
        <v>74021</v>
      </c>
      <c r="K25" s="124">
        <f>20014</f>
        <v>20014</v>
      </c>
      <c r="L25" s="124"/>
      <c r="M25" s="124"/>
      <c r="N25" s="124"/>
      <c r="O25" s="123"/>
      <c r="Q25" s="220" t="s">
        <v>130</v>
      </c>
      <c r="R25" s="23" t="s">
        <v>45</v>
      </c>
      <c r="S25" s="23" t="s">
        <v>46</v>
      </c>
      <c r="T25" s="24" t="s">
        <v>19</v>
      </c>
    </row>
    <row r="26" spans="1:23" ht="14.4" x14ac:dyDescent="0.3">
      <c r="A26" s="37" t="s">
        <v>38</v>
      </c>
      <c r="B26" s="37"/>
      <c r="C26" s="21"/>
      <c r="D26" s="101"/>
      <c r="E26" s="111"/>
      <c r="F26" s="124"/>
      <c r="G26" s="137"/>
      <c r="H26" s="124"/>
      <c r="I26" s="124"/>
      <c r="J26" s="124"/>
      <c r="K26" s="124"/>
      <c r="L26" s="124"/>
      <c r="M26" s="124"/>
      <c r="N26" s="124">
        <f>2051+1967</f>
        <v>4018</v>
      </c>
      <c r="O26" s="123"/>
      <c r="Q26" s="221"/>
      <c r="R26" s="126">
        <f>H53/(52-R35)</f>
        <v>45292.529411764706</v>
      </c>
      <c r="S26" s="126">
        <f>H95/(52-R35)</f>
        <v>86864.76470588235</v>
      </c>
      <c r="T26" s="109">
        <f>H96/(52-R35)</f>
        <v>132157.29411764705</v>
      </c>
    </row>
    <row r="27" spans="1:23" ht="15" thickBot="1" x14ac:dyDescent="0.35">
      <c r="A27" s="37" t="s">
        <v>22</v>
      </c>
      <c r="B27" s="37"/>
      <c r="C27" s="21"/>
      <c r="D27" s="101"/>
      <c r="E27" s="111"/>
      <c r="F27" s="124"/>
      <c r="G27" s="137"/>
      <c r="H27" s="124">
        <f>22591+20001+24996+71010+552+706+38442+38518+30434</f>
        <v>247250</v>
      </c>
      <c r="I27" s="124"/>
      <c r="J27" s="124"/>
      <c r="K27" s="124"/>
      <c r="L27" s="124"/>
      <c r="M27" s="124">
        <f>48868+20906+6367+4974+4170+1761</f>
        <v>87046</v>
      </c>
      <c r="N27" s="124">
        <f>143+2407+108+5494+6813+3480+4910+5719+17750+4637+2757+4114+6361+3099</f>
        <v>67792</v>
      </c>
      <c r="O27" s="123"/>
      <c r="Q27" s="83" t="s">
        <v>101</v>
      </c>
      <c r="R27" s="81">
        <f>R26*52</f>
        <v>2355211.5294117648</v>
      </c>
      <c r="S27" s="81">
        <f>S26*52</f>
        <v>4516967.7647058824</v>
      </c>
      <c r="T27" s="82">
        <f>R27+S27</f>
        <v>6872179.2941176472</v>
      </c>
    </row>
    <row r="28" spans="1:23" ht="14.4" x14ac:dyDescent="0.3">
      <c r="A28" s="37" t="s">
        <v>109</v>
      </c>
      <c r="B28" s="37">
        <v>45234</v>
      </c>
      <c r="C28" s="21">
        <f>9621+39629+997</f>
        <v>50247</v>
      </c>
      <c r="D28" s="101"/>
      <c r="E28" s="111">
        <f>1687+1690+723+731+326+408</f>
        <v>5565</v>
      </c>
      <c r="F28" s="124"/>
      <c r="G28" s="137"/>
      <c r="H28" s="124"/>
      <c r="I28" s="124"/>
      <c r="J28" s="124"/>
      <c r="K28" s="124"/>
      <c r="L28" s="124"/>
      <c r="M28" s="124">
        <f>24664+19336+26509+24991</f>
        <v>95500</v>
      </c>
      <c r="N28" s="124"/>
      <c r="O28" s="123"/>
      <c r="Q28" s="66" t="s">
        <v>100</v>
      </c>
      <c r="R28" s="50"/>
      <c r="S28" s="50"/>
    </row>
    <row r="29" spans="1:23" ht="14.4" x14ac:dyDescent="0.3">
      <c r="A29" s="37" t="s">
        <v>39</v>
      </c>
      <c r="B29" s="37"/>
      <c r="C29" s="21"/>
      <c r="D29" s="101"/>
      <c r="E29" s="111"/>
      <c r="F29" s="124"/>
      <c r="G29" s="137"/>
      <c r="H29" s="124"/>
      <c r="I29" s="124"/>
      <c r="J29" s="124"/>
      <c r="K29" s="124"/>
      <c r="L29" s="124"/>
      <c r="M29" s="124"/>
      <c r="N29" s="124"/>
      <c r="O29" s="123"/>
      <c r="R29" s="50"/>
      <c r="S29" s="50"/>
    </row>
    <row r="30" spans="1:23" ht="15" thickBot="1" x14ac:dyDescent="0.35">
      <c r="A30" s="37" t="s">
        <v>60</v>
      </c>
      <c r="B30" s="37"/>
      <c r="C30" s="21"/>
      <c r="D30" s="101"/>
      <c r="E30" s="111"/>
      <c r="F30" s="124"/>
      <c r="G30" s="137"/>
      <c r="H30" s="124"/>
      <c r="I30" s="124"/>
      <c r="J30" s="124"/>
      <c r="K30" s="124"/>
      <c r="L30" s="124"/>
      <c r="M30" s="124"/>
      <c r="N30" s="124"/>
      <c r="O30" s="123"/>
      <c r="Q30" s="1" t="s">
        <v>54</v>
      </c>
    </row>
    <row r="31" spans="1:23" ht="14.4" x14ac:dyDescent="0.3">
      <c r="A31" s="37" t="s">
        <v>4</v>
      </c>
      <c r="B31" s="37"/>
      <c r="C31" s="21"/>
      <c r="D31" s="101"/>
      <c r="E31" s="111"/>
      <c r="F31" s="124"/>
      <c r="G31" s="137">
        <f>134+238+65+100+133+165+357+229+316+604+29+457</f>
        <v>2827</v>
      </c>
      <c r="H31" s="124"/>
      <c r="I31" s="124"/>
      <c r="J31" s="124"/>
      <c r="K31" s="124"/>
      <c r="L31" s="124"/>
      <c r="M31" s="124"/>
      <c r="N31" s="124"/>
      <c r="O31" s="123"/>
      <c r="Q31" s="33"/>
      <c r="R31" s="23" t="s">
        <v>47</v>
      </c>
      <c r="S31" s="23" t="s">
        <v>97</v>
      </c>
      <c r="T31" s="24" t="s">
        <v>52</v>
      </c>
    </row>
    <row r="32" spans="1:23" ht="14.4" x14ac:dyDescent="0.3">
      <c r="A32" s="37" t="s">
        <v>102</v>
      </c>
      <c r="B32" s="37"/>
      <c r="C32" s="21">
        <f>817+559+516+967</f>
        <v>2859</v>
      </c>
      <c r="D32" s="101"/>
      <c r="E32" s="111"/>
      <c r="F32" s="124"/>
      <c r="G32" s="137"/>
      <c r="H32" s="124"/>
      <c r="I32" s="124"/>
      <c r="J32" s="124"/>
      <c r="K32" s="124"/>
      <c r="L32" s="124"/>
      <c r="M32" s="124"/>
      <c r="N32" s="124"/>
      <c r="O32" s="123"/>
      <c r="Q32" s="39" t="s">
        <v>48</v>
      </c>
      <c r="R32" s="94">
        <v>2000000</v>
      </c>
      <c r="S32" s="94">
        <v>2650000</v>
      </c>
      <c r="T32" s="96">
        <v>2700000</v>
      </c>
      <c r="W32" s="66"/>
    </row>
    <row r="33" spans="1:20" ht="14.4" x14ac:dyDescent="0.3">
      <c r="A33" s="37" t="s">
        <v>90</v>
      </c>
      <c r="B33" s="37"/>
      <c r="C33" s="21"/>
      <c r="D33" s="101"/>
      <c r="E33" s="111"/>
      <c r="F33" s="124"/>
      <c r="G33" s="137"/>
      <c r="H33" s="124"/>
      <c r="I33" s="124"/>
      <c r="J33" s="124"/>
      <c r="K33" s="124"/>
      <c r="L33" s="124"/>
      <c r="M33" s="124">
        <f>24024+28476</f>
        <v>52500</v>
      </c>
      <c r="N33" s="124"/>
      <c r="O33" s="123"/>
      <c r="Q33" s="58" t="s">
        <v>129</v>
      </c>
      <c r="R33" s="21">
        <f>H53</f>
        <v>769973</v>
      </c>
      <c r="S33" s="21">
        <f>H53</f>
        <v>769973</v>
      </c>
      <c r="T33" s="34">
        <f>H53</f>
        <v>769973</v>
      </c>
    </row>
    <row r="34" spans="1:20" ht="14.4" x14ac:dyDescent="0.3">
      <c r="A34" s="37" t="s">
        <v>88</v>
      </c>
      <c r="B34" s="37"/>
      <c r="C34" s="21"/>
      <c r="D34" s="101"/>
      <c r="E34" s="111"/>
      <c r="F34" s="124"/>
      <c r="G34" s="137"/>
      <c r="H34" s="124"/>
      <c r="I34" s="124"/>
      <c r="J34" s="124"/>
      <c r="K34" s="124"/>
      <c r="L34" s="124"/>
      <c r="M34" s="124"/>
      <c r="N34" s="124"/>
      <c r="O34" s="123"/>
      <c r="Q34" s="28" t="s">
        <v>49</v>
      </c>
      <c r="R34" s="21">
        <f>R32-R33</f>
        <v>1230027</v>
      </c>
      <c r="S34" s="21">
        <f>S32-S33</f>
        <v>1880027</v>
      </c>
      <c r="T34" s="34">
        <f>T32-T33</f>
        <v>1930027</v>
      </c>
    </row>
    <row r="35" spans="1:20" ht="14.4" x14ac:dyDescent="0.3">
      <c r="A35" s="37" t="s">
        <v>85</v>
      </c>
      <c r="B35" s="37">
        <v>68005</v>
      </c>
      <c r="C35" s="21">
        <f>27700+33176</f>
        <v>60876</v>
      </c>
      <c r="D35" s="101"/>
      <c r="E35" s="111"/>
      <c r="F35" s="124"/>
      <c r="G35" s="137"/>
      <c r="H35" s="124"/>
      <c r="I35" s="124">
        <f>29110+14968+19022+27529</f>
        <v>90629</v>
      </c>
      <c r="J35" s="124"/>
      <c r="K35" s="124">
        <f>26114+6536+29628+17007+22887+25729</f>
        <v>127901</v>
      </c>
      <c r="L35" s="124">
        <f>36387+12000+29972+14028+11250+31298+39447</f>
        <v>174382</v>
      </c>
      <c r="M35" s="124">
        <f>47500+31566+12434+41651+12405+27595+44000+45060</f>
        <v>262211</v>
      </c>
      <c r="N35" s="124"/>
      <c r="O35" s="123"/>
      <c r="Q35" s="28" t="s">
        <v>50</v>
      </c>
      <c r="R35" s="21">
        <f>G6</f>
        <v>35</v>
      </c>
      <c r="S35" s="21">
        <f>$R$35</f>
        <v>35</v>
      </c>
      <c r="T35" s="34">
        <f>$R$35</f>
        <v>35</v>
      </c>
    </row>
    <row r="36" spans="1:20" ht="15" thickBot="1" x14ac:dyDescent="0.35">
      <c r="A36" s="37" t="s">
        <v>67</v>
      </c>
      <c r="B36" s="37">
        <v>19442</v>
      </c>
      <c r="C36" s="21"/>
      <c r="D36" s="101"/>
      <c r="E36" s="111"/>
      <c r="F36" s="124"/>
      <c r="G36" s="137"/>
      <c r="H36" s="124">
        <f>480</f>
        <v>480</v>
      </c>
      <c r="I36" s="124"/>
      <c r="J36" s="124">
        <f>22900</f>
        <v>22900</v>
      </c>
      <c r="K36" s="124"/>
      <c r="L36" s="124"/>
      <c r="M36" s="124"/>
      <c r="N36" s="124"/>
      <c r="O36" s="123"/>
      <c r="Q36" s="35" t="s">
        <v>51</v>
      </c>
      <c r="R36" s="25">
        <f>R34/R35</f>
        <v>35143.62857142857</v>
      </c>
      <c r="S36" s="25">
        <f>S34/S35</f>
        <v>53715.057142857142</v>
      </c>
      <c r="T36" s="26">
        <f>T34/T35</f>
        <v>55143.62857142857</v>
      </c>
    </row>
    <row r="37" spans="1:20" ht="14.4" x14ac:dyDescent="0.3">
      <c r="A37" s="37" t="s">
        <v>43</v>
      </c>
      <c r="B37" s="37"/>
      <c r="C37" s="21"/>
      <c r="D37" s="101"/>
      <c r="E37" s="111"/>
      <c r="F37" s="124"/>
      <c r="G37" s="137"/>
      <c r="H37" s="124"/>
      <c r="I37" s="124"/>
      <c r="J37" s="124"/>
      <c r="K37" s="124"/>
      <c r="L37" s="124"/>
      <c r="M37" s="124"/>
      <c r="N37" s="124"/>
      <c r="O37" s="123"/>
      <c r="R37" s="51"/>
      <c r="S37" s="36"/>
      <c r="T37" s="51"/>
    </row>
    <row r="38" spans="1:20" ht="14.4" x14ac:dyDescent="0.3">
      <c r="A38" s="37" t="s">
        <v>74</v>
      </c>
      <c r="B38" s="37"/>
      <c r="C38" s="21"/>
      <c r="D38" s="101"/>
      <c r="E38" s="111"/>
      <c r="F38" s="124"/>
      <c r="G38" s="137"/>
      <c r="H38" s="124"/>
      <c r="I38" s="124"/>
      <c r="J38" s="124"/>
      <c r="K38" s="124"/>
      <c r="L38" s="124"/>
      <c r="M38" s="124"/>
      <c r="N38" s="124"/>
      <c r="O38" s="123"/>
      <c r="Q38" s="79" t="s">
        <v>96</v>
      </c>
      <c r="R38" s="51"/>
      <c r="S38" s="36"/>
      <c r="T38" s="51"/>
    </row>
    <row r="39" spans="1:20" ht="14.4" x14ac:dyDescent="0.3">
      <c r="A39" s="37" t="s">
        <v>228</v>
      </c>
      <c r="B39" s="37"/>
      <c r="C39" s="21"/>
      <c r="D39" s="101"/>
      <c r="E39" s="111"/>
      <c r="F39" s="124"/>
      <c r="G39" s="137"/>
      <c r="H39" s="124"/>
      <c r="I39" s="124"/>
      <c r="J39" s="124"/>
      <c r="K39" s="124"/>
      <c r="L39" s="124"/>
      <c r="M39" s="124"/>
      <c r="N39" s="124"/>
      <c r="O39" s="123"/>
      <c r="Q39" s="79"/>
      <c r="R39" s="51"/>
      <c r="S39" s="36"/>
      <c r="T39" s="51"/>
    </row>
    <row r="40" spans="1:20" ht="14.4" x14ac:dyDescent="0.3">
      <c r="A40" s="37" t="s">
        <v>25</v>
      </c>
      <c r="B40" s="37">
        <v>258</v>
      </c>
      <c r="C40" s="21"/>
      <c r="D40" s="101"/>
      <c r="E40" s="111"/>
      <c r="F40" s="124"/>
      <c r="G40" s="137"/>
      <c r="H40" s="124"/>
      <c r="I40" s="124"/>
      <c r="J40" s="124"/>
      <c r="K40" s="124"/>
      <c r="L40" s="124"/>
      <c r="M40" s="124"/>
      <c r="N40" s="124"/>
      <c r="O40" s="123"/>
      <c r="Q40" s="79" t="s">
        <v>99</v>
      </c>
      <c r="R40" s="51"/>
      <c r="S40" s="36"/>
      <c r="T40" s="51"/>
    </row>
    <row r="41" spans="1:20" ht="14.4" x14ac:dyDescent="0.3">
      <c r="A41" s="37" t="s">
        <v>82</v>
      </c>
      <c r="B41" s="37"/>
      <c r="C41" s="21"/>
      <c r="D41" s="101"/>
      <c r="E41" s="111"/>
      <c r="F41" s="124"/>
      <c r="G41" s="137"/>
      <c r="H41" s="124">
        <f>5820+44789+22</f>
        <v>50631</v>
      </c>
      <c r="I41" s="124">
        <f>1496+16080</f>
        <v>17576</v>
      </c>
      <c r="J41" s="124"/>
      <c r="K41" s="124"/>
      <c r="L41" s="124"/>
      <c r="M41" s="124"/>
      <c r="N41" s="124"/>
      <c r="O41" s="123"/>
      <c r="Q41" s="79"/>
      <c r="R41" s="51"/>
      <c r="S41" s="36"/>
      <c r="T41" s="51"/>
    </row>
    <row r="42" spans="1:20" ht="14.4" x14ac:dyDescent="0.3">
      <c r="A42" s="37" t="s">
        <v>89</v>
      </c>
      <c r="B42" s="37"/>
      <c r="C42" s="21"/>
      <c r="D42" s="101"/>
      <c r="E42" s="111"/>
      <c r="F42" s="124"/>
      <c r="G42" s="137"/>
      <c r="H42" s="124"/>
      <c r="I42" s="124"/>
      <c r="J42" s="124"/>
      <c r="K42" s="124"/>
      <c r="L42" s="124"/>
      <c r="M42" s="124"/>
      <c r="N42" s="124"/>
      <c r="O42" s="123"/>
      <c r="R42" s="51"/>
      <c r="S42" s="51"/>
      <c r="T42" s="51"/>
    </row>
    <row r="43" spans="1:20" ht="14.4" x14ac:dyDescent="0.3">
      <c r="A43" s="37" t="s">
        <v>23</v>
      </c>
      <c r="B43" s="37"/>
      <c r="C43" s="21"/>
      <c r="D43" s="101"/>
      <c r="E43" s="111"/>
      <c r="F43" s="124"/>
      <c r="G43" s="137">
        <f>10105</f>
        <v>10105</v>
      </c>
      <c r="H43" s="124"/>
      <c r="I43" s="124"/>
      <c r="J43" s="124">
        <f>10100+12982</f>
        <v>23082</v>
      </c>
      <c r="K43" s="124"/>
      <c r="L43" s="124"/>
      <c r="M43" s="124"/>
      <c r="N43" s="124"/>
      <c r="O43" s="123"/>
      <c r="R43" s="51"/>
      <c r="S43" s="51"/>
      <c r="T43" s="51"/>
    </row>
    <row r="44" spans="1:20" ht="14.4" x14ac:dyDescent="0.3">
      <c r="A44" s="37" t="s">
        <v>259</v>
      </c>
      <c r="B44" s="37"/>
      <c r="C44" s="21"/>
      <c r="D44" s="101"/>
      <c r="E44" s="111"/>
      <c r="F44" s="124"/>
      <c r="G44" s="137"/>
      <c r="H44" s="124"/>
      <c r="I44" s="124"/>
      <c r="J44" s="124"/>
      <c r="K44" s="124"/>
      <c r="L44" s="124"/>
      <c r="M44" s="124">
        <f>21+21</f>
        <v>42</v>
      </c>
      <c r="N44" s="124"/>
      <c r="O44" s="123"/>
      <c r="R44" s="51"/>
      <c r="S44" s="51"/>
      <c r="T44" s="51"/>
    </row>
    <row r="45" spans="1:20" ht="14.4" x14ac:dyDescent="0.3">
      <c r="A45" s="173" t="s">
        <v>21</v>
      </c>
      <c r="B45" s="37"/>
      <c r="C45" s="21"/>
      <c r="D45" s="101"/>
      <c r="E45" s="111"/>
      <c r="F45" s="124"/>
      <c r="G45" s="137"/>
      <c r="H45" s="124"/>
      <c r="I45" s="124"/>
      <c r="J45" s="124"/>
      <c r="K45" s="124"/>
      <c r="L45" s="124"/>
      <c r="M45" s="124"/>
      <c r="N45" s="124">
        <f>35+70</f>
        <v>105</v>
      </c>
      <c r="O45" s="123"/>
      <c r="R45" s="51"/>
      <c r="S45" s="51"/>
      <c r="T45" s="51"/>
    </row>
    <row r="46" spans="1:20" ht="14.4" x14ac:dyDescent="0.3">
      <c r="A46" s="37" t="s">
        <v>260</v>
      </c>
      <c r="B46" s="37"/>
      <c r="C46" s="21"/>
      <c r="D46" s="101"/>
      <c r="E46" s="111"/>
      <c r="F46" s="124"/>
      <c r="G46" s="137"/>
      <c r="H46" s="124"/>
      <c r="I46" s="124"/>
      <c r="J46" s="124"/>
      <c r="K46" s="124"/>
      <c r="L46" s="124"/>
      <c r="M46" s="124">
        <f>1811+20000+25000</f>
        <v>46811</v>
      </c>
      <c r="N46" s="124"/>
      <c r="O46" s="123"/>
      <c r="R46" s="51"/>
      <c r="S46" s="51"/>
      <c r="T46" s="51"/>
    </row>
    <row r="47" spans="1:20" ht="14.4" x14ac:dyDescent="0.3">
      <c r="A47" s="37" t="s">
        <v>261</v>
      </c>
      <c r="B47" s="37"/>
      <c r="C47" s="21"/>
      <c r="D47" s="101"/>
      <c r="E47" s="111"/>
      <c r="F47" s="124"/>
      <c r="G47" s="137"/>
      <c r="H47" s="124"/>
      <c r="I47" s="124"/>
      <c r="J47" s="124"/>
      <c r="K47" s="124"/>
      <c r="L47" s="124"/>
      <c r="M47" s="124">
        <f>4811+17000</f>
        <v>21811</v>
      </c>
      <c r="N47" s="124">
        <f>23327+19443</f>
        <v>42770</v>
      </c>
      <c r="O47" s="123"/>
      <c r="R47" s="51"/>
      <c r="S47" s="51"/>
      <c r="T47" s="51"/>
    </row>
    <row r="48" spans="1:20" ht="14.4" x14ac:dyDescent="0.3">
      <c r="A48" s="37" t="s">
        <v>73</v>
      </c>
      <c r="B48" s="37"/>
      <c r="C48" s="21"/>
      <c r="D48" s="101"/>
      <c r="E48" s="111"/>
      <c r="F48" s="124"/>
      <c r="G48" s="137"/>
      <c r="H48" s="124"/>
      <c r="I48" s="124"/>
      <c r="J48" s="124"/>
      <c r="K48" s="124"/>
      <c r="L48" s="124"/>
      <c r="M48" s="124"/>
      <c r="N48" s="124"/>
      <c r="O48" s="123"/>
      <c r="R48" s="51"/>
      <c r="S48" s="51"/>
      <c r="T48" s="51"/>
    </row>
    <row r="49" spans="1:20" ht="14.4" x14ac:dyDescent="0.3">
      <c r="A49" s="37" t="s">
        <v>78</v>
      </c>
      <c r="B49" s="37"/>
      <c r="C49" s="21"/>
      <c r="D49" s="101"/>
      <c r="E49" s="111"/>
      <c r="F49" s="124"/>
      <c r="G49" s="137"/>
      <c r="H49" s="124"/>
      <c r="I49" s="124"/>
      <c r="J49" s="124"/>
      <c r="K49" s="124"/>
      <c r="L49" s="124"/>
      <c r="M49" s="124"/>
      <c r="N49" s="124"/>
      <c r="O49" s="123"/>
    </row>
    <row r="50" spans="1:20" ht="15" thickBot="1" x14ac:dyDescent="0.35">
      <c r="A50" s="37" t="s">
        <v>227</v>
      </c>
      <c r="B50" s="37"/>
      <c r="C50" s="21"/>
      <c r="D50" s="101"/>
      <c r="E50" s="111"/>
      <c r="F50" s="124"/>
      <c r="G50" s="137"/>
      <c r="H50" s="124">
        <f>24998</f>
        <v>24998</v>
      </c>
      <c r="I50" s="124"/>
      <c r="J50" s="124">
        <f>20000</f>
        <v>20000</v>
      </c>
      <c r="K50" s="124"/>
      <c r="L50" s="124"/>
      <c r="M50" s="124"/>
      <c r="N50" s="124"/>
      <c r="O50" s="123"/>
      <c r="Q50" s="1" t="s">
        <v>55</v>
      </c>
    </row>
    <row r="51" spans="1:20" ht="14.4" x14ac:dyDescent="0.3">
      <c r="A51" s="37" t="s">
        <v>92</v>
      </c>
      <c r="B51" s="37">
        <v>31000</v>
      </c>
      <c r="C51" s="21"/>
      <c r="D51" s="101"/>
      <c r="E51" s="111"/>
      <c r="F51" s="124"/>
      <c r="G51" s="137"/>
      <c r="H51" s="124">
        <f>17289+14711</f>
        <v>32000</v>
      </c>
      <c r="I51" s="124"/>
      <c r="J51" s="124"/>
      <c r="K51" s="124"/>
      <c r="L51" s="124"/>
      <c r="M51" s="124"/>
      <c r="N51" s="124"/>
      <c r="O51" s="123"/>
      <c r="Q51" s="33"/>
      <c r="R51" s="23" t="s">
        <v>47</v>
      </c>
      <c r="S51" s="23" t="s">
        <v>98</v>
      </c>
      <c r="T51" s="24" t="s">
        <v>52</v>
      </c>
    </row>
    <row r="52" spans="1:20" ht="14.4" x14ac:dyDescent="0.3">
      <c r="A52" s="37" t="s">
        <v>16</v>
      </c>
      <c r="B52" s="37"/>
      <c r="C52" s="21"/>
      <c r="D52" s="101"/>
      <c r="E52" s="111"/>
      <c r="F52" s="124"/>
      <c r="G52" s="137">
        <f>30+225+33</f>
        <v>288</v>
      </c>
      <c r="H52" s="124"/>
      <c r="I52" s="124"/>
      <c r="J52" s="124"/>
      <c r="K52" s="124"/>
      <c r="L52" s="124"/>
      <c r="M52" s="124"/>
      <c r="N52" s="124"/>
      <c r="O52" s="123">
        <f>68+69</f>
        <v>137</v>
      </c>
      <c r="Q52" s="39" t="s">
        <v>56</v>
      </c>
      <c r="R52" s="94">
        <v>1400000</v>
      </c>
      <c r="S52" s="94">
        <v>1600000</v>
      </c>
      <c r="T52" s="94">
        <v>1800000</v>
      </c>
    </row>
    <row r="53" spans="1:20" ht="14.4" x14ac:dyDescent="0.3">
      <c r="A53" s="38" t="s">
        <v>62</v>
      </c>
      <c r="B53" s="38">
        <f>SUM(B9:B51)</f>
        <v>1731243</v>
      </c>
      <c r="C53" s="99">
        <f>SUM(C9:C35)</f>
        <v>1395153</v>
      </c>
      <c r="D53" s="103">
        <f t="shared" ref="D53:I53" si="0">SUM(D9:D52)</f>
        <v>901227</v>
      </c>
      <c r="E53" s="110">
        <f t="shared" si="0"/>
        <v>536014</v>
      </c>
      <c r="F53" s="125">
        <f t="shared" si="0"/>
        <v>456646</v>
      </c>
      <c r="G53" s="138">
        <f t="shared" si="0"/>
        <v>525079</v>
      </c>
      <c r="H53" s="125">
        <f t="shared" si="0"/>
        <v>769973</v>
      </c>
      <c r="I53" s="125">
        <f t="shared" si="0"/>
        <v>468657</v>
      </c>
      <c r="J53" s="124">
        <f t="shared" ref="J53:O53" si="1">SUM(J9:J52)</f>
        <v>1018191</v>
      </c>
      <c r="K53" s="124">
        <f t="shared" si="1"/>
        <v>1117073</v>
      </c>
      <c r="L53" s="124">
        <f t="shared" si="1"/>
        <v>724598</v>
      </c>
      <c r="M53" s="124">
        <f t="shared" si="1"/>
        <v>1490776</v>
      </c>
      <c r="N53" s="124">
        <f t="shared" si="1"/>
        <v>1249746</v>
      </c>
      <c r="O53" s="171">
        <f t="shared" si="1"/>
        <v>480748</v>
      </c>
      <c r="P53" s="171">
        <f>'Weekliks-Weekly'!M26</f>
        <v>480748</v>
      </c>
      <c r="Q53" s="58" t="s">
        <v>128</v>
      </c>
      <c r="R53" s="21">
        <f>H95</f>
        <v>1476701</v>
      </c>
      <c r="S53" s="21">
        <f>H95</f>
        <v>1476701</v>
      </c>
      <c r="T53" s="34">
        <f>F95</f>
        <v>210799</v>
      </c>
    </row>
    <row r="54" spans="1:20" ht="14.4" x14ac:dyDescent="0.3">
      <c r="E54" s="104"/>
      <c r="H54" s="98"/>
      <c r="K54" s="163"/>
      <c r="L54" s="163"/>
      <c r="P54" s="20"/>
      <c r="Q54" s="28" t="s">
        <v>49</v>
      </c>
      <c r="R54" s="21">
        <f>R52-R53</f>
        <v>-76701</v>
      </c>
      <c r="S54" s="21">
        <f>S52-S53</f>
        <v>123299</v>
      </c>
      <c r="T54" s="34">
        <f>T52-T53</f>
        <v>1589201</v>
      </c>
    </row>
    <row r="55" spans="1:20" ht="14.4" x14ac:dyDescent="0.3">
      <c r="A55" s="1" t="s">
        <v>6</v>
      </c>
      <c r="B55" s="1"/>
      <c r="C55" s="1"/>
      <c r="D55" s="1"/>
      <c r="H55" s="66"/>
      <c r="K55" s="163"/>
      <c r="L55" s="163" t="s">
        <v>2</v>
      </c>
      <c r="M55" s="172" t="s">
        <v>2</v>
      </c>
      <c r="N55" s="1" t="s">
        <v>244</v>
      </c>
      <c r="O55" s="1" t="s">
        <v>244</v>
      </c>
      <c r="Q55" s="28" t="s">
        <v>50</v>
      </c>
      <c r="R55" s="21">
        <f>$R$35</f>
        <v>35</v>
      </c>
      <c r="S55" s="21">
        <f>$R$35</f>
        <v>35</v>
      </c>
      <c r="T55" s="34">
        <f>$R$35</f>
        <v>35</v>
      </c>
    </row>
    <row r="56" spans="1:20" ht="13.8" thickBot="1" x14ac:dyDescent="0.3">
      <c r="B56" s="86" t="s">
        <v>104</v>
      </c>
      <c r="C56" s="86" t="s">
        <v>105</v>
      </c>
      <c r="D56" s="157" t="s">
        <v>108</v>
      </c>
      <c r="E56" s="156" t="s">
        <v>112</v>
      </c>
      <c r="F56" s="156" t="s">
        <v>111</v>
      </c>
      <c r="G56" s="156" t="s">
        <v>126</v>
      </c>
      <c r="H56" s="158" t="s">
        <v>223</v>
      </c>
      <c r="I56" s="156" t="s">
        <v>230</v>
      </c>
      <c r="J56" s="156" t="s">
        <v>240</v>
      </c>
      <c r="K56" s="156" t="s">
        <v>240</v>
      </c>
      <c r="L56" s="156" t="s">
        <v>246</v>
      </c>
      <c r="M56" s="156" t="s">
        <v>258</v>
      </c>
      <c r="N56" s="156" t="s">
        <v>266</v>
      </c>
      <c r="O56" s="156" t="s">
        <v>270</v>
      </c>
      <c r="Q56" s="35" t="s">
        <v>51</v>
      </c>
      <c r="R56" s="25">
        <f>R54/R55</f>
        <v>-2191.457142857143</v>
      </c>
      <c r="S56" s="25">
        <f>S54/S55</f>
        <v>3522.8285714285716</v>
      </c>
      <c r="T56" s="26">
        <f>T54/T55</f>
        <v>45405.742857142854</v>
      </c>
    </row>
    <row r="57" spans="1:20" ht="14.4" x14ac:dyDescent="0.3">
      <c r="A57" s="37" t="s">
        <v>15</v>
      </c>
      <c r="B57" s="37">
        <v>6587</v>
      </c>
      <c r="C57" s="65">
        <f>15+593+506+514+2+172+104+492+454+220+228+781+182+405+743+1096+189+228+819+50+301+274+56+3+160+223+56+36+279+5</f>
        <v>9186</v>
      </c>
      <c r="D57" s="101">
        <f>432+66+344+134+148+212+250+640+33+32+35+159+679+19+135+2137+176+137+560+726+209+15+36+248+166+439+324+121+34+168</f>
        <v>8814</v>
      </c>
      <c r="E57" s="101">
        <v>7506</v>
      </c>
      <c r="F57" s="124">
        <f>748+34+694+396+440+317+704+484+440+968+484+484+484+484+484+968+660+880+616+484+484</f>
        <v>11737</v>
      </c>
      <c r="G57" s="137">
        <f>45+34+42+34+6+34+61+20+1012+979+1470+49+58+527+484+774+572+1188+851+660+949+440+799+771+357+469</f>
        <v>12685</v>
      </c>
      <c r="H57" s="124">
        <f>10+176+18+440+6+440+487+3</f>
        <v>1580</v>
      </c>
      <c r="I57" s="124">
        <f>5+395+12+533+15+466+96+234+480+904+166+509+419+34+204+137+647+240+240+1092+337+131</f>
        <v>7296</v>
      </c>
      <c r="J57" s="124">
        <f>556+924+616+414+159+37+484+320+949+20+489+264+977+826+412+536+275+2167+521+7+26+792+14+704+12+20+21+18+36+23+19+26</f>
        <v>12664</v>
      </c>
      <c r="K57" s="124">
        <f>57+12+1311+440+6+111+150+224+288+1421+347+172+633+428+793+339+418+138+140+209+105+23+572+482+30+11+12+520+60</f>
        <v>9452</v>
      </c>
      <c r="L57" s="124">
        <f>8+20+5+12+15+17+9+12+55+50+55+67</f>
        <v>325</v>
      </c>
      <c r="M57" s="124">
        <f>5+38+6+6+11+7+11+11+5+3+69+96+201+136+3+132+880+814+432+271+265+144+103+409+287+240+271+268+636+268+815+136+135+34+174+212+276+201+201+242+44+32+113+237+3</f>
        <v>8883</v>
      </c>
      <c r="N57" s="124">
        <f>9+11+2+17+14+6+3+6+3+3+36+654+5+307+8+12+3+3+4+23+33</f>
        <v>1162</v>
      </c>
      <c r="O57" s="123">
        <f>36+3+8+12+34+482+18+1030+245+383</f>
        <v>2251</v>
      </c>
      <c r="R57" s="51"/>
      <c r="S57" s="36"/>
      <c r="T57" s="51"/>
    </row>
    <row r="58" spans="1:20" ht="14.4" x14ac:dyDescent="0.3">
      <c r="A58" s="37" t="s">
        <v>18</v>
      </c>
      <c r="B58" s="37">
        <v>14833</v>
      </c>
      <c r="C58" s="65">
        <f>442+352+471+159+522+155+97+223+98+1208+427+220+251+320+451+535+294+1020+1115+271+326+258+513+168+181+35+47+255+1680+791+1175+749+394+958+83+84+82+27+511+427+400</f>
        <v>17775</v>
      </c>
      <c r="D58" s="101">
        <f>104+81+631+231+213+199+138+220+979+131+507+487+461+1509+410+771+288+1886+496+624+850+1081+544+865+409+194+124+205+197+169+639+362+433+364+735+911+168+570+1013+550+381+793+183+164+67+110+95</f>
        <v>22542</v>
      </c>
      <c r="E58" s="101">
        <v>24483</v>
      </c>
      <c r="F58" s="124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37">
        <f>235+241+1120+329+492+842+101+227+554+859+468+273+143+203+367+132+1909+956+675+348+508+588+570+536+498+295+1238+102+477+175+348+170+267+207+800+931+539+744+203+206+1185+1131+885+296+730+1078+803+811</f>
        <v>26795</v>
      </c>
      <c r="H58" s="124">
        <f>499+589+492+655+625+570+159+760+991+445+237+467+535+510+269+501+102+914+134+247+237+512+770+1239+539+235+540+131+32+394+1070+473+344+542+163+70+318+434+1307+1308+301+9+134+204+160+62+374+215+98</f>
        <v>21916</v>
      </c>
      <c r="I58" s="124">
        <f>378+431+1056+1195+1017+926+519+880+371+1897+582+492+590+588+472+643+854+1280+951+537+896+379+408+1030+913+1079+920+271+374+306+261+1080+274+373+714+339+356+697+764+395+382+432+1125+441</f>
        <v>29868</v>
      </c>
      <c r="J58" s="124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24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24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24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24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23">
        <f>741+930+1397+732+1141+1214+1778+1081+407+537+1309+2511+1069+1392+1314+1605+1936+1678</f>
        <v>22772</v>
      </c>
      <c r="Q58" s="79" t="s">
        <v>96</v>
      </c>
      <c r="R58" s="51"/>
      <c r="S58" s="36"/>
      <c r="T58" s="51"/>
    </row>
    <row r="59" spans="1:20" ht="14.4" x14ac:dyDescent="0.3">
      <c r="A59" s="37" t="s">
        <v>241</v>
      </c>
      <c r="B59" s="37">
        <v>55618</v>
      </c>
      <c r="C59" s="65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101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101">
        <v>45076</v>
      </c>
      <c r="F59" s="124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37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24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24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24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24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24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24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24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23">
        <f>1370+1626+2011+1805+1607+422+1363+1574+1723+1729+1847+1916+1804+2057+1470+2164+1975+1116</f>
        <v>29579</v>
      </c>
      <c r="Q59" s="79" t="s">
        <v>99</v>
      </c>
    </row>
    <row r="60" spans="1:20" ht="14.4" x14ac:dyDescent="0.3">
      <c r="A60" s="37" t="s">
        <v>17</v>
      </c>
      <c r="B60" s="37">
        <v>15632</v>
      </c>
      <c r="C60" s="65">
        <f>351+605+233+305+817+415+277+384+367+848+1059+1094+689+993+572+818+73+1858+1438+1599+1054+1189+664+565+719+322+922+570+477+461+256+152+398+605+389+694+154+531+395+336+669+471+699+566+330+125+873+139+136+279</f>
        <v>29935</v>
      </c>
      <c r="D60" s="101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101">
        <v>37518</v>
      </c>
      <c r="F60" s="124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37">
        <f>215+224+301+248+200+130+165+66+144+441+463+294+291+1198+277+143+1423+231+312+227+343+594+946+682+29+138+66+25+162+589+419+297+387+457+1+35+35+36+116+183+255+290+481+502+501+133+296</f>
        <v>14991</v>
      </c>
      <c r="H60" s="124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24">
        <f>1373+1525+1030+1146+1014+1019+1011+1134+157+1248+1677+1556+1457+775+529+786+1611+1312+1047+488+392+280+374+295+380+482+464+1068+861+639+626+1190+557+468+1076+1110+1065+785+893+1510+331+143+307</f>
        <v>37191</v>
      </c>
      <c r="J60" s="124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24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24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24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24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23">
        <f>833+762+1760+1214+1482+1304+1355+1136+629+2016+849+1160+1920+1467+894+752+203+304</f>
        <v>20040</v>
      </c>
    </row>
    <row r="61" spans="1:20" ht="14.4" x14ac:dyDescent="0.3">
      <c r="A61" s="37" t="s">
        <v>12</v>
      </c>
      <c r="B61" s="37">
        <v>22153</v>
      </c>
      <c r="C61" s="65">
        <f>540+329+759+511+168+346+135+401+270+406+532+201+416+716+209+318+544+1004+287+269+934+901+534+878+844+1100+725+688+590+1335+1240+418+2824+1226+1603+825+1233+861+1339+1503+411+528+1620+679+635+491+636+930+322</f>
        <v>36214</v>
      </c>
      <c r="D61" s="101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101">
        <v>30126</v>
      </c>
      <c r="F61" s="124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37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24">
        <f>235+162+435+304+658+363+748+470+606+258+422+299+289+371+247+278+89+1091+339+242+292+208+210+540+395+132+36+169+180+11+158+179+83+204+71+134+27+57+34+592+141+34+224+168+1850+915+943+510+551+1039</f>
        <v>17993</v>
      </c>
      <c r="I61" s="124">
        <f>1445+2094+674+1059+1447+1725+1958+997+290+273+466+868+771+329+587+366+834+490+497+723+541+70+493+664+241+395+423+315+243+273+248+767+130+518+386+677+457+726+173+130+2076+524+537+135</f>
        <v>29035</v>
      </c>
      <c r="J61" s="124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24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24">
        <f>159+97+99+128+1164+64+35+115+935+30+69+92+1298+1+160+31+317+28+97+717+68+34+533+67+68+276+68+241+70+232+71+100+208+599+172+102+353+1135+472+483+480</f>
        <v>11468</v>
      </c>
      <c r="M61" s="124">
        <f>1406+1625+1053+713+654+810+1300+1110+1362+557+828+1586+1627+1384+1307+1554+1103+1085+1766+1503+460+32+100+32+35+34+45+35+35+6+90+316+35+107+341+33+34+125+101+68+121+33+32+33+369+321+63</f>
        <v>27369</v>
      </c>
      <c r="N61" s="124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23">
        <f>2176+2671+1769+2458+2130+1677+1955+1755+2537+2297+1274+2066+1858+2005+2424+2318+905+1309</f>
        <v>35584</v>
      </c>
    </row>
    <row r="62" spans="1:20" ht="15" thickBot="1" x14ac:dyDescent="0.35">
      <c r="A62" s="63" t="s">
        <v>224</v>
      </c>
      <c r="B62" s="37">
        <v>161550</v>
      </c>
      <c r="C62" s="65">
        <f>31849+21249+27982</f>
        <v>81080</v>
      </c>
      <c r="D62" s="101">
        <f>236+4206+2320+14699+21493+23043+26457+20376+54124+1726</f>
        <v>168680</v>
      </c>
      <c r="E62" s="101">
        <v>679185</v>
      </c>
      <c r="F62" s="124"/>
      <c r="G62" s="137"/>
      <c r="H62" s="124">
        <f>12779+27898+7311+53225+66100+40001+36317+18283</f>
        <v>261914</v>
      </c>
      <c r="I62" s="124">
        <f>54399+51999</f>
        <v>106398</v>
      </c>
      <c r="J62" s="124"/>
      <c r="K62" s="124">
        <f>8891+44641+56118+13109+41491+52489+22512+32088+21400+30450</f>
        <v>323189</v>
      </c>
      <c r="L62" s="124">
        <f>9205+10001+55000+53132+32042+44157+75547+13060+46758+17913+45262+54550+24060+30290+46821+3074+6056+52010+35106+18780+55000+54000+52700</f>
        <v>834524</v>
      </c>
      <c r="M62" s="124">
        <f>31992+100221+51648+51501+2477+31226+23531+47728+4785+55300+54230+32203+23669+10226+44224+32486+77964+23512+21087</f>
        <v>720010</v>
      </c>
      <c r="N62" s="124">
        <f>52478+20385+32083+7717+31863+23638+23651+25915+6225+13039+28442+54980+24500+47723+36877+33570</f>
        <v>463086</v>
      </c>
      <c r="O62" s="123"/>
      <c r="Q62" s="1" t="s">
        <v>57</v>
      </c>
    </row>
    <row r="63" spans="1:20" ht="14.4" x14ac:dyDescent="0.3">
      <c r="A63" s="42" t="s">
        <v>24</v>
      </c>
      <c r="B63" s="42">
        <v>48880</v>
      </c>
      <c r="C63" s="65">
        <f>25083+24806+39128+27873+22427</f>
        <v>139317</v>
      </c>
      <c r="D63" s="101">
        <f>18608+30231+50170+2930+92055+7681+84537+77568+54112+24125+34803+39324+29995+45209+4967</f>
        <v>596315</v>
      </c>
      <c r="E63" s="101">
        <v>198197</v>
      </c>
      <c r="F63" s="124"/>
      <c r="G63" s="137"/>
      <c r="H63" s="125">
        <f>10250+40114+36227+39306+55248+22494+47041+5682+1846+51254+34370+11130+52611+22466+57016+99855+53806+74644+28124+2398+19786</f>
        <v>765668</v>
      </c>
      <c r="I63" s="125">
        <f>51000+26957+23135+50425</f>
        <v>151517</v>
      </c>
      <c r="J63" s="124"/>
      <c r="K63" s="124">
        <f>30685+21955+34334+15776+39311+10719+7695+44775</f>
        <v>205250</v>
      </c>
      <c r="L63" s="124">
        <f>32459+18294+27805+22845+28298+53428+23937+52460+52155+19755+82796+6370+101747+85190+61911+52133+55000+48240</f>
        <v>824823</v>
      </c>
      <c r="M63" s="124">
        <f>50146+24477+28273+34402+15013+14317+33995+9192+68604+51520+54262+53047+59513+32722+30962+44701</f>
        <v>605146</v>
      </c>
      <c r="N63" s="124">
        <f>30131+23009+6802+24368+20000+113666+84008+12419+61515+19250+20001+22580+30554</f>
        <v>468303</v>
      </c>
      <c r="O63" s="171"/>
      <c r="Q63" s="33"/>
      <c r="R63" s="23" t="s">
        <v>47</v>
      </c>
      <c r="S63" s="23" t="s">
        <v>53</v>
      </c>
      <c r="T63" s="24" t="s">
        <v>52</v>
      </c>
    </row>
    <row r="64" spans="1:20" ht="14.4" x14ac:dyDescent="0.3">
      <c r="A64" s="173" t="s">
        <v>262</v>
      </c>
      <c r="B64" s="42"/>
      <c r="C64" s="65"/>
      <c r="D64" s="101"/>
      <c r="E64" s="101"/>
      <c r="F64" s="124"/>
      <c r="G64" s="137"/>
      <c r="H64" s="125"/>
      <c r="I64" s="125"/>
      <c r="J64" s="124"/>
      <c r="K64" s="124"/>
      <c r="L64" s="124"/>
      <c r="M64" s="124">
        <f>26652+81452</f>
        <v>108104</v>
      </c>
      <c r="N64" s="124">
        <f>26953+16628+11972+55960</f>
        <v>111513</v>
      </c>
      <c r="O64" s="171"/>
      <c r="Q64" s="39" t="s">
        <v>58</v>
      </c>
      <c r="R64" s="40">
        <f>R52+R32</f>
        <v>3400000</v>
      </c>
      <c r="S64" s="40">
        <f>S52+S32</f>
        <v>4250000</v>
      </c>
      <c r="T64" s="41">
        <f>T52+T32</f>
        <v>4500000</v>
      </c>
    </row>
    <row r="65" spans="1:22" ht="14.4" x14ac:dyDescent="0.3">
      <c r="A65" s="42" t="s">
        <v>21</v>
      </c>
      <c r="B65" s="42"/>
      <c r="C65" s="105"/>
      <c r="D65" s="102">
        <v>1009</v>
      </c>
      <c r="E65" s="102">
        <v>1011</v>
      </c>
      <c r="F65" s="125"/>
      <c r="G65" s="138"/>
      <c r="H65" s="125">
        <f>102+345+172+782+782+299</f>
        <v>2482</v>
      </c>
      <c r="I65" s="125"/>
      <c r="J65" s="124">
        <f>481</f>
        <v>481</v>
      </c>
      <c r="K65" s="124"/>
      <c r="L65" s="124">
        <f>35+35+35+3013+643+1416+2079+35+35+1176+238+68+1013+125+992+34+34+102+34+1013+68+102+34+1000+991+993+1105</f>
        <v>16448</v>
      </c>
      <c r="M65" s="124">
        <f>1983+1978+1488+499+35</f>
        <v>5983</v>
      </c>
      <c r="N65" s="124"/>
      <c r="O65" s="171"/>
      <c r="Q65" s="58" t="s">
        <v>131</v>
      </c>
      <c r="R65" s="21">
        <f>H95+H53</f>
        <v>2246674</v>
      </c>
      <c r="S65" s="21">
        <f>R65</f>
        <v>2246674</v>
      </c>
      <c r="T65" s="34">
        <f>S65</f>
        <v>2246674</v>
      </c>
    </row>
    <row r="66" spans="1:22" ht="14.4" x14ac:dyDescent="0.3">
      <c r="A66" s="37" t="s">
        <v>103</v>
      </c>
      <c r="B66" s="37">
        <v>229</v>
      </c>
      <c r="C66" s="65"/>
      <c r="D66" s="101"/>
      <c r="E66" s="101"/>
      <c r="F66" s="124"/>
      <c r="G66" s="137"/>
      <c r="H66" s="124"/>
      <c r="I66" s="124"/>
      <c r="J66" s="124"/>
      <c r="K66" s="124"/>
      <c r="L66" s="124"/>
      <c r="M66" s="124"/>
      <c r="N66" s="124"/>
      <c r="O66" s="123"/>
      <c r="Q66" s="28" t="s">
        <v>49</v>
      </c>
      <c r="R66" s="21">
        <f>R64-R65</f>
        <v>1153326</v>
      </c>
      <c r="S66" s="21">
        <f>S64-S65</f>
        <v>2003326</v>
      </c>
      <c r="T66" s="34">
        <f>T64-T65</f>
        <v>2253326</v>
      </c>
    </row>
    <row r="67" spans="1:22" ht="14.4" x14ac:dyDescent="0.3">
      <c r="A67" s="63" t="s">
        <v>81</v>
      </c>
      <c r="B67" s="63">
        <v>28100</v>
      </c>
      <c r="C67" s="65"/>
      <c r="D67" s="101"/>
      <c r="E67" s="101"/>
      <c r="F67" s="124"/>
      <c r="G67" s="137"/>
      <c r="H67" s="124"/>
      <c r="I67" s="124"/>
      <c r="J67" s="124"/>
      <c r="K67" s="124"/>
      <c r="L67" s="124"/>
      <c r="M67" s="124"/>
      <c r="N67" s="124"/>
      <c r="O67" s="123"/>
      <c r="Q67" s="28" t="s">
        <v>50</v>
      </c>
      <c r="R67" s="21">
        <f>$R$35</f>
        <v>35</v>
      </c>
      <c r="S67" s="21">
        <f>$R$35</f>
        <v>35</v>
      </c>
      <c r="T67" s="34">
        <f>$R$35</f>
        <v>35</v>
      </c>
    </row>
    <row r="68" spans="1:22" ht="15" thickBot="1" x14ac:dyDescent="0.35">
      <c r="A68" s="63" t="s">
        <v>42</v>
      </c>
      <c r="B68" s="63"/>
      <c r="C68" s="65"/>
      <c r="D68" s="101">
        <f>382+452+516</f>
        <v>1350</v>
      </c>
      <c r="E68" s="101">
        <v>3540</v>
      </c>
      <c r="F68" s="124"/>
      <c r="G68" s="137"/>
      <c r="H68" s="124"/>
      <c r="I68" s="124"/>
      <c r="J68" s="124"/>
      <c r="K68" s="124"/>
      <c r="L68" s="124"/>
      <c r="M68" s="124"/>
      <c r="N68" s="124"/>
      <c r="O68" s="123"/>
      <c r="Q68" s="35" t="s">
        <v>51</v>
      </c>
      <c r="R68" s="25">
        <f>R66/R67</f>
        <v>32952.171428571426</v>
      </c>
      <c r="S68" s="25">
        <f>S66/S67</f>
        <v>57237.885714285716</v>
      </c>
      <c r="T68" s="26">
        <f>T66/T67</f>
        <v>64380.742857142854</v>
      </c>
    </row>
    <row r="69" spans="1:22" ht="14.4" x14ac:dyDescent="0.3">
      <c r="A69" s="42" t="s">
        <v>75</v>
      </c>
      <c r="B69" s="42"/>
      <c r="C69" s="65"/>
      <c r="D69" s="101"/>
      <c r="E69" s="101"/>
      <c r="F69" s="124"/>
      <c r="G69" s="137"/>
      <c r="H69" s="124"/>
      <c r="I69" s="124"/>
      <c r="J69" s="124"/>
      <c r="K69" s="124"/>
      <c r="L69" s="124"/>
      <c r="M69" s="124"/>
      <c r="N69" s="124"/>
      <c r="O69" s="123"/>
    </row>
    <row r="70" spans="1:22" ht="14.4" x14ac:dyDescent="0.3">
      <c r="A70" s="63" t="s">
        <v>38</v>
      </c>
      <c r="B70" s="63">
        <v>7700</v>
      </c>
      <c r="C70" s="65"/>
      <c r="D70" s="101"/>
      <c r="E70" s="101"/>
      <c r="F70" s="124"/>
      <c r="G70" s="137"/>
      <c r="H70" s="124">
        <f>301</f>
        <v>301</v>
      </c>
      <c r="I70" s="124">
        <f>20000</f>
        <v>20000</v>
      </c>
      <c r="J70" s="124"/>
      <c r="K70" s="124"/>
      <c r="L70" s="124">
        <f>9505</f>
        <v>9505</v>
      </c>
      <c r="M70" s="124">
        <v>0</v>
      </c>
      <c r="N70" s="124">
        <f>654+1315</f>
        <v>1969</v>
      </c>
      <c r="O70" s="123"/>
      <c r="P70" s="2"/>
      <c r="R70" s="51"/>
      <c r="S70" s="57"/>
      <c r="T70" s="51"/>
    </row>
    <row r="71" spans="1:22" ht="14.4" x14ac:dyDescent="0.3">
      <c r="A71" s="63" t="s">
        <v>106</v>
      </c>
      <c r="B71" s="63"/>
      <c r="C71" s="65"/>
      <c r="D71" s="101"/>
      <c r="E71" s="101"/>
      <c r="F71" s="124">
        <f>1104+543+810+36+788</f>
        <v>3281</v>
      </c>
      <c r="G71" s="137"/>
      <c r="H71" s="124"/>
      <c r="I71" s="124"/>
      <c r="J71" s="124"/>
      <c r="K71" s="124"/>
      <c r="L71" s="124"/>
      <c r="M71" s="124"/>
      <c r="N71" s="124"/>
      <c r="O71" s="123"/>
      <c r="P71" s="2"/>
      <c r="R71" s="51"/>
      <c r="S71" s="57"/>
      <c r="T71" s="51"/>
    </row>
    <row r="72" spans="1:22" ht="14.4" x14ac:dyDescent="0.3">
      <c r="A72" s="63" t="s">
        <v>107</v>
      </c>
      <c r="B72" s="63">
        <v>302259</v>
      </c>
      <c r="C72" s="65">
        <f>594+1100+5818+12152</f>
        <v>19664</v>
      </c>
      <c r="D72" s="101">
        <f>2544+29810+36024+30166+49500</f>
        <v>148044</v>
      </c>
      <c r="E72" s="101">
        <v>214474</v>
      </c>
      <c r="F72" s="124">
        <f>2277</f>
        <v>2277</v>
      </c>
      <c r="G72" s="137">
        <f>506+828+483+1932+691+510+530+483</f>
        <v>5963</v>
      </c>
      <c r="H72" s="124">
        <f>644+828+828</f>
        <v>2300</v>
      </c>
      <c r="I72" s="124"/>
      <c r="J72" s="124"/>
      <c r="K72" s="124"/>
      <c r="L72" s="124"/>
      <c r="M72" s="124"/>
      <c r="N72" s="124"/>
      <c r="O72" s="123"/>
      <c r="V72" s="1"/>
    </row>
    <row r="73" spans="1:22" ht="14.4" x14ac:dyDescent="0.3">
      <c r="A73" s="63" t="s">
        <v>225</v>
      </c>
      <c r="B73" s="63"/>
      <c r="C73" s="65"/>
      <c r="D73" s="101"/>
      <c r="E73" s="101"/>
      <c r="F73" s="124"/>
      <c r="G73" s="137"/>
      <c r="H73" s="124">
        <f>11313+40938+53280+39974+13319+25257+27863</f>
        <v>211944</v>
      </c>
      <c r="I73" s="124">
        <f>2106+590+391+576+307+399+195+200+399+8210+39332+53700+36010+17490+54800</f>
        <v>214705</v>
      </c>
      <c r="J73" s="124">
        <f>513+483+989+84+322+1465+483+490+532+492+496</f>
        <v>6349</v>
      </c>
      <c r="K73" s="124">
        <f>12751+88323+4701+54094+31686+38182+22125+16475+12942+40501+41337+508</f>
        <v>363625</v>
      </c>
      <c r="L73" s="124">
        <f>15250+30536+9788+495+248+275+54130+248+371+124+36118+17023+9923+46821+249+55346+15950+40075+50925+500+500+34857+10643</f>
        <v>430395</v>
      </c>
      <c r="M73" s="124">
        <f>25006+21556+31166+52075</f>
        <v>129803</v>
      </c>
      <c r="N73" s="124">
        <f>56211+32529+52830+53033+65447+4532+78700+51399+24015+29648+13914+29994</f>
        <v>492252</v>
      </c>
      <c r="O73" s="123"/>
      <c r="V73" s="1"/>
    </row>
    <row r="74" spans="1:22" ht="14.4" x14ac:dyDescent="0.3">
      <c r="A74" s="63" t="s">
        <v>239</v>
      </c>
      <c r="B74" s="63"/>
      <c r="C74" s="65"/>
      <c r="D74" s="101"/>
      <c r="E74" s="101"/>
      <c r="F74" s="124"/>
      <c r="G74" s="137"/>
      <c r="H74" s="124"/>
      <c r="I74" s="124">
        <f>304+506+552+943+23+207+506+483+598</f>
        <v>4122</v>
      </c>
      <c r="J74" s="124">
        <f>968+483+463+969+462+833+629+506+484+2231+276</f>
        <v>8304</v>
      </c>
      <c r="K74" s="124"/>
      <c r="L74" s="124"/>
      <c r="M74" s="124"/>
      <c r="N74" s="124"/>
      <c r="O74" s="123"/>
      <c r="V74" s="1"/>
    </row>
    <row r="75" spans="1:22" ht="14.4" x14ac:dyDescent="0.3">
      <c r="A75" s="63" t="s">
        <v>73</v>
      </c>
      <c r="B75" s="37"/>
      <c r="C75" s="65"/>
      <c r="D75" s="101"/>
      <c r="E75" s="101"/>
      <c r="F75" s="124"/>
      <c r="G75" s="137"/>
      <c r="H75" s="124"/>
      <c r="I75" s="124"/>
      <c r="J75" s="124"/>
      <c r="K75" s="124"/>
      <c r="L75" s="124"/>
      <c r="M75" s="124"/>
      <c r="N75" s="124"/>
      <c r="O75" s="123"/>
      <c r="V75" s="52"/>
    </row>
    <row r="76" spans="1:22" ht="14.4" x14ac:dyDescent="0.3">
      <c r="A76" s="37" t="s">
        <v>74</v>
      </c>
      <c r="B76" s="37"/>
      <c r="C76" s="65"/>
      <c r="D76" s="101"/>
      <c r="E76" s="101"/>
      <c r="F76" s="124"/>
      <c r="G76" s="137"/>
      <c r="H76" s="124"/>
      <c r="I76" s="124"/>
      <c r="J76" s="124"/>
      <c r="K76" s="124"/>
      <c r="L76" s="124"/>
      <c r="M76" s="124"/>
      <c r="N76" s="124"/>
      <c r="O76" s="123"/>
      <c r="V76" s="52"/>
    </row>
    <row r="77" spans="1:22" ht="14.4" x14ac:dyDescent="0.3">
      <c r="A77" s="37" t="s">
        <v>20</v>
      </c>
      <c r="B77" s="37">
        <v>4109</v>
      </c>
      <c r="C77" s="65">
        <f>352+2002</f>
        <v>2354</v>
      </c>
      <c r="D77" s="101">
        <f>1757+280+280+473+2151</f>
        <v>4941</v>
      </c>
      <c r="E77" s="101"/>
      <c r="F77" s="124"/>
      <c r="G77" s="137"/>
      <c r="H77" s="124"/>
      <c r="I77" s="124"/>
      <c r="J77" s="124"/>
      <c r="K77" s="124"/>
      <c r="L77" s="124"/>
      <c r="M77" s="124"/>
      <c r="N77" s="124"/>
      <c r="O77" s="123"/>
      <c r="Q77" s="20"/>
      <c r="V77" s="20"/>
    </row>
    <row r="78" spans="1:22" ht="14.4" x14ac:dyDescent="0.3">
      <c r="A78" s="37" t="s">
        <v>88</v>
      </c>
      <c r="B78" s="37"/>
      <c r="C78" s="65"/>
      <c r="D78" s="101">
        <f>5812+7883</f>
        <v>13695</v>
      </c>
      <c r="E78" s="101"/>
      <c r="F78" s="124"/>
      <c r="G78" s="137"/>
      <c r="H78" s="124"/>
      <c r="I78" s="124"/>
      <c r="J78" s="124"/>
      <c r="K78" s="124"/>
      <c r="L78" s="124"/>
      <c r="M78" s="124"/>
      <c r="N78" s="124"/>
      <c r="O78" s="123"/>
      <c r="Q78" s="20"/>
      <c r="V78" s="20"/>
    </row>
    <row r="79" spans="1:22" ht="14.4" x14ac:dyDescent="0.3">
      <c r="A79" s="173" t="s">
        <v>267</v>
      </c>
      <c r="B79" s="37"/>
      <c r="C79" s="65"/>
      <c r="D79" s="101"/>
      <c r="E79" s="101"/>
      <c r="F79" s="124"/>
      <c r="G79" s="137"/>
      <c r="H79" s="124"/>
      <c r="I79" s="124"/>
      <c r="J79" s="124"/>
      <c r="K79" s="124"/>
      <c r="L79" s="124"/>
      <c r="M79" s="124"/>
      <c r="N79" s="124">
        <f>136+91+300+379+239</f>
        <v>1145</v>
      </c>
      <c r="O79" s="123"/>
    </row>
    <row r="80" spans="1:22" ht="14.4" x14ac:dyDescent="0.3">
      <c r="A80" s="37" t="s">
        <v>245</v>
      </c>
      <c r="B80" s="37"/>
      <c r="C80" s="65"/>
      <c r="D80" s="101"/>
      <c r="E80" s="101"/>
      <c r="F80" s="124"/>
      <c r="G80" s="137"/>
      <c r="H80" s="124"/>
      <c r="I80" s="124"/>
      <c r="J80" s="124"/>
      <c r="K80" s="124">
        <f>21</f>
        <v>21</v>
      </c>
      <c r="L80" s="124"/>
      <c r="M80" s="124"/>
      <c r="N80" s="124"/>
      <c r="O80" s="123"/>
    </row>
    <row r="81" spans="1:29" ht="14.4" x14ac:dyDescent="0.3">
      <c r="A81" s="37" t="s">
        <v>90</v>
      </c>
      <c r="B81" s="37"/>
      <c r="C81" s="65"/>
      <c r="D81" s="101"/>
      <c r="E81" s="101">
        <v>52499</v>
      </c>
      <c r="F81" s="124"/>
      <c r="G81" s="137"/>
      <c r="H81" s="124"/>
      <c r="I81" s="124"/>
      <c r="J81" s="124"/>
      <c r="K81" s="124"/>
      <c r="L81" s="124"/>
      <c r="M81" s="124"/>
      <c r="N81" s="124"/>
      <c r="O81" s="123"/>
      <c r="Q81" s="20"/>
    </row>
    <row r="82" spans="1:29" ht="14.4" x14ac:dyDescent="0.3">
      <c r="A82" s="63" t="s">
        <v>228</v>
      </c>
      <c r="B82" s="37"/>
      <c r="C82" s="65"/>
      <c r="D82" s="101"/>
      <c r="E82" s="101"/>
      <c r="F82" s="124"/>
      <c r="G82" s="137"/>
      <c r="H82" s="124">
        <f>283+594+599+725+552+602+604+456+606+454</f>
        <v>5475</v>
      </c>
      <c r="I82" s="124"/>
      <c r="J82" s="124"/>
      <c r="K82" s="124"/>
      <c r="L82" s="124"/>
      <c r="M82" s="124"/>
      <c r="N82" s="124"/>
      <c r="O82" s="123"/>
      <c r="Q82" s="20"/>
    </row>
    <row r="83" spans="1:29" ht="14.4" x14ac:dyDescent="0.3">
      <c r="A83" s="63" t="s">
        <v>110</v>
      </c>
      <c r="B83" s="37"/>
      <c r="C83" s="65"/>
      <c r="D83" s="101"/>
      <c r="E83" s="101">
        <v>55959</v>
      </c>
      <c r="F83" s="124"/>
      <c r="G83" s="137"/>
      <c r="H83" s="124"/>
      <c r="I83" s="124"/>
      <c r="J83" s="124"/>
      <c r="K83" s="124">
        <f>262+254+264</f>
        <v>780</v>
      </c>
      <c r="L83" s="124">
        <f>1116+549</f>
        <v>1665</v>
      </c>
      <c r="M83" s="124">
        <f>2054+506+1364+1518+770+220</f>
        <v>6432</v>
      </c>
      <c r="N83" s="124">
        <f>41+275+572+305+204+512+512+287+225+308+362+273+356+106+382</f>
        <v>4720</v>
      </c>
      <c r="O83" s="123">
        <f>663+339+237+432+662</f>
        <v>2333</v>
      </c>
      <c r="Q83" s="20"/>
    </row>
    <row r="84" spans="1:29" ht="14.4" x14ac:dyDescent="0.3">
      <c r="A84" s="42" t="s">
        <v>25</v>
      </c>
      <c r="B84" s="42">
        <v>2537</v>
      </c>
      <c r="C84" s="65"/>
      <c r="D84" s="101"/>
      <c r="E84" s="101"/>
      <c r="F84" s="124"/>
      <c r="G84" s="137"/>
      <c r="H84" s="124"/>
      <c r="I84" s="124"/>
      <c r="J84" s="124"/>
      <c r="K84" s="124"/>
      <c r="L84" s="124"/>
      <c r="M84" s="124"/>
      <c r="N84" s="124"/>
      <c r="O84" s="123"/>
    </row>
    <row r="85" spans="1:29" ht="14.4" x14ac:dyDescent="0.3">
      <c r="A85" s="42" t="s">
        <v>23</v>
      </c>
      <c r="B85" s="42"/>
      <c r="C85" s="65"/>
      <c r="D85" s="101"/>
      <c r="E85" s="101"/>
      <c r="F85" s="124"/>
      <c r="G85" s="137"/>
      <c r="H85" s="124"/>
      <c r="I85" s="124"/>
      <c r="J85" s="124"/>
      <c r="K85" s="124"/>
      <c r="L85" s="124"/>
      <c r="M85" s="124"/>
      <c r="N85" s="124"/>
      <c r="O85" s="123"/>
    </row>
    <row r="86" spans="1:29" ht="14.4" x14ac:dyDescent="0.3">
      <c r="A86" s="37" t="s">
        <v>16</v>
      </c>
      <c r="B86" s="37"/>
      <c r="C86" s="65"/>
      <c r="D86" s="101"/>
      <c r="E86" s="101"/>
      <c r="F86" s="124"/>
      <c r="G86" s="137">
        <f>132</f>
        <v>132</v>
      </c>
      <c r="H86" s="124"/>
      <c r="I86" s="124"/>
      <c r="J86" s="124"/>
      <c r="K86" s="124"/>
      <c r="L86" s="124"/>
      <c r="M86" s="124"/>
      <c r="N86" s="124">
        <f>72</f>
        <v>72</v>
      </c>
      <c r="O86" s="123">
        <f>417+71</f>
        <v>488</v>
      </c>
    </row>
    <row r="87" spans="1:29" ht="14.4" x14ac:dyDescent="0.3">
      <c r="A87" s="37" t="s">
        <v>80</v>
      </c>
      <c r="B87" s="37"/>
      <c r="C87" s="65"/>
      <c r="D87" s="101"/>
      <c r="E87" s="101"/>
      <c r="F87" s="124"/>
      <c r="G87" s="137"/>
      <c r="H87" s="124"/>
      <c r="I87" s="124"/>
      <c r="J87" s="124"/>
      <c r="K87" s="124"/>
      <c r="L87" s="124">
        <f>335+434</f>
        <v>769</v>
      </c>
      <c r="M87" s="124">
        <f>139+208</f>
        <v>347</v>
      </c>
      <c r="N87" s="124"/>
      <c r="O87" s="123"/>
    </row>
    <row r="88" spans="1:29" ht="14.4" x14ac:dyDescent="0.3">
      <c r="A88" s="37" t="s">
        <v>82</v>
      </c>
      <c r="B88" s="37"/>
      <c r="C88" s="65"/>
      <c r="D88" s="101"/>
      <c r="E88" s="101"/>
      <c r="F88" s="124"/>
      <c r="G88" s="137"/>
      <c r="H88" s="124"/>
      <c r="I88" s="124"/>
      <c r="J88" s="124"/>
      <c r="K88" s="124"/>
      <c r="L88" s="124">
        <f>53610+27400+22400</f>
        <v>103410</v>
      </c>
      <c r="M88" s="124">
        <v>0</v>
      </c>
      <c r="N88" s="124"/>
      <c r="O88" s="123"/>
    </row>
    <row r="89" spans="1:29" ht="14.4" x14ac:dyDescent="0.3">
      <c r="A89" s="37" t="s">
        <v>14</v>
      </c>
      <c r="B89" s="37">
        <v>263</v>
      </c>
      <c r="C89" s="65"/>
      <c r="D89" s="101">
        <f>638+633+506+319+1025+397+1008+1075+488+2034+1910+904+1675+1248+531+66+1085+775+587+1489+1543+1213+968+359+174+70+1035+366+951+598+365+69+318+784</f>
        <v>27206</v>
      </c>
      <c r="E89" s="101">
        <v>3617</v>
      </c>
      <c r="F89" s="124">
        <f>33+67+62+35</f>
        <v>197</v>
      </c>
      <c r="G89" s="137">
        <f>394+179+598+197+491+1740+2194+3167+2177+2486+2619+3109+3240+2734+1713+8992+4692+4785+4210+4018+5162+2556+2616+2436+3011+1426+1349+1233+888+249+922+765+670+37+738+355+362+572+1783+1593+332+101+748+5711+244</f>
        <v>89594</v>
      </c>
      <c r="H89" s="124">
        <f>889</f>
        <v>889</v>
      </c>
      <c r="I89" s="124"/>
      <c r="J89" s="124">
        <f>1226+1351+1901+2089+5750+5079+4513+4378+5445+3977+2687+1448+2015+2522+2337+1820+209+101+1162+1494+1240+925+1281+1230+1501+582+398+68+1137+934+1763+1731+2438+1052+1435+808+705</f>
        <v>70732</v>
      </c>
      <c r="K89" s="124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9" s="124">
        <f>27</f>
        <v>27</v>
      </c>
      <c r="M89" s="124">
        <f>935+202+264+535+770+472+647+1167+809+5+1067+751+376+781+104+64+1015+64</f>
        <v>10028</v>
      </c>
      <c r="N89" s="124">
        <f>7372+7523+7060+5682+4559+6281+7086+7707+6670+8583+7498+7244+7269+9454+5528+8844+4999+1876+2075+5583+8694+6933+7638+5447+4472+4085+5197+4487+6908+2942+2144+15+141+493+495+478</f>
        <v>189462</v>
      </c>
      <c r="O89" s="123">
        <f>10386+7543+11716+8162+9684+7633+8249+9808+6621+8468+8894+9669+7381+8790+8491+5211+4737+2936</f>
        <v>144379</v>
      </c>
    </row>
    <row r="90" spans="1:29" ht="14.4" x14ac:dyDescent="0.3">
      <c r="A90" s="42" t="s">
        <v>39</v>
      </c>
      <c r="B90" s="42">
        <v>40800</v>
      </c>
      <c r="C90" s="65"/>
      <c r="D90" s="101"/>
      <c r="E90" s="101"/>
      <c r="F90" s="124"/>
      <c r="G90" s="137"/>
      <c r="H90" s="124"/>
      <c r="I90" s="124"/>
      <c r="J90" s="124"/>
      <c r="K90" s="124"/>
      <c r="L90" s="124"/>
      <c r="M90" s="124"/>
      <c r="N90" s="124"/>
      <c r="O90" s="123"/>
    </row>
    <row r="91" spans="1:29" ht="14.4" x14ac:dyDescent="0.3">
      <c r="A91" s="98" t="s">
        <v>85</v>
      </c>
      <c r="B91" s="84"/>
      <c r="C91" s="64"/>
      <c r="D91" s="101"/>
      <c r="E91" s="101">
        <v>50078</v>
      </c>
      <c r="F91" s="124"/>
      <c r="G91" s="137"/>
      <c r="H91" s="124"/>
      <c r="I91" s="124">
        <f>9300+39000+40093+11057</f>
        <v>99450</v>
      </c>
      <c r="J91" s="124"/>
      <c r="K91" s="124"/>
      <c r="L91" s="124">
        <f>27150</f>
        <v>27150</v>
      </c>
      <c r="M91" s="124">
        <f>2231+807+983</f>
        <v>4021</v>
      </c>
      <c r="N91" s="124"/>
      <c r="O91" s="123"/>
    </row>
    <row r="92" spans="1:29" ht="14.4" x14ac:dyDescent="0.3">
      <c r="A92" s="43" t="s">
        <v>44</v>
      </c>
      <c r="B92" s="84"/>
      <c r="C92" s="64"/>
      <c r="D92" s="101"/>
      <c r="E92" s="101"/>
      <c r="F92" s="124"/>
      <c r="G92" s="137"/>
      <c r="H92" s="124"/>
      <c r="I92" s="124"/>
      <c r="J92" s="124"/>
      <c r="K92" s="124"/>
      <c r="L92" s="124"/>
      <c r="M92" s="124"/>
      <c r="N92" s="124"/>
      <c r="O92" s="123"/>
    </row>
    <row r="93" spans="1:29" ht="14.4" x14ac:dyDescent="0.3">
      <c r="A93" s="98" t="s">
        <v>229</v>
      </c>
      <c r="B93" s="84"/>
      <c r="C93" s="64"/>
      <c r="D93" s="101"/>
      <c r="E93" s="101"/>
      <c r="F93" s="124"/>
      <c r="G93" s="137"/>
      <c r="H93" s="124">
        <f>54570</f>
        <v>54570</v>
      </c>
      <c r="I93" s="124">
        <f>1200+53400+53520+780+36867+17733+7523+51287+47633+25012+28280+11056+85566+112887+63203+40701+54600</f>
        <v>691248</v>
      </c>
      <c r="J93" s="124"/>
      <c r="K93" s="124">
        <f>23529+27871+10303+44365</f>
        <v>106068</v>
      </c>
      <c r="L93" s="124">
        <f>59950+23037+29065+29828+22672+31844+20656+58957+47161+28536+57458+22946</f>
        <v>432110</v>
      </c>
      <c r="M93" s="124">
        <f>52718+41485+12315+54610+52320+29271+25009+25847+15953+10803+4830+27528</f>
        <v>352689</v>
      </c>
      <c r="N93" s="124">
        <f>52775+54560+21280+6038+44677</f>
        <v>179330</v>
      </c>
      <c r="O93" s="123"/>
    </row>
    <row r="94" spans="1:29" ht="14.4" x14ac:dyDescent="0.3">
      <c r="A94" s="98" t="s">
        <v>121</v>
      </c>
      <c r="B94" s="84"/>
      <c r="C94" s="64"/>
      <c r="D94" s="101"/>
      <c r="E94" s="101"/>
      <c r="F94" s="124">
        <f>897</f>
        <v>897</v>
      </c>
      <c r="G94" s="137"/>
      <c r="H94" s="124"/>
      <c r="I94" s="124"/>
      <c r="J94" s="124"/>
      <c r="K94" s="124"/>
      <c r="L94" s="124"/>
      <c r="M94" s="124"/>
      <c r="N94" s="124"/>
      <c r="O94" s="123"/>
    </row>
    <row r="95" spans="1:29" ht="14.4" x14ac:dyDescent="0.3">
      <c r="A95" s="38" t="s">
        <v>5</v>
      </c>
      <c r="B95" s="85">
        <f>SUM(B57:B94)</f>
        <v>711250</v>
      </c>
      <c r="C95" s="100">
        <f>SUM(C57:C77)</f>
        <v>392095</v>
      </c>
      <c r="D95" s="106">
        <f t="shared" ref="D95:O95" si="2">SUM(D57:D94)</f>
        <v>1123009</v>
      </c>
      <c r="E95" s="106">
        <f t="shared" si="2"/>
        <v>1403269</v>
      </c>
      <c r="F95" s="124">
        <f t="shared" si="2"/>
        <v>210799</v>
      </c>
      <c r="G95" s="137">
        <f t="shared" si="2"/>
        <v>289140</v>
      </c>
      <c r="H95" s="124">
        <f t="shared" si="2"/>
        <v>1476701</v>
      </c>
      <c r="I95" s="124">
        <f t="shared" si="2"/>
        <v>1474333</v>
      </c>
      <c r="J95" s="124">
        <f t="shared" si="2"/>
        <v>402373</v>
      </c>
      <c r="K95" s="124">
        <f t="shared" si="2"/>
        <v>1424093</v>
      </c>
      <c r="L95" s="124">
        <f t="shared" si="2"/>
        <v>2878743</v>
      </c>
      <c r="M95" s="124">
        <f t="shared" si="2"/>
        <v>2152746</v>
      </c>
      <c r="N95" s="124">
        <f t="shared" si="2"/>
        <v>2167128</v>
      </c>
      <c r="O95" s="123">
        <f t="shared" si="2"/>
        <v>257426</v>
      </c>
      <c r="P95" s="123">
        <f>'Weekliks-Weekly'!N26</f>
        <v>257426</v>
      </c>
      <c r="Q95" s="20"/>
      <c r="Y95" s="3"/>
      <c r="Z95" s="3"/>
      <c r="AA95" s="3"/>
      <c r="AB95" s="3"/>
      <c r="AC95" s="3"/>
    </row>
    <row r="96" spans="1:29" ht="14.4" x14ac:dyDescent="0.3">
      <c r="A96" s="38" t="s">
        <v>8</v>
      </c>
      <c r="B96" s="85">
        <f t="shared" ref="B96:K96" si="3">B53+B95</f>
        <v>2442493</v>
      </c>
      <c r="C96" s="100">
        <f t="shared" si="3"/>
        <v>1787248</v>
      </c>
      <c r="D96" s="106">
        <f t="shared" si="3"/>
        <v>2024236</v>
      </c>
      <c r="E96" s="106">
        <f t="shared" si="3"/>
        <v>1939283</v>
      </c>
      <c r="F96" s="106">
        <f t="shared" si="3"/>
        <v>667445</v>
      </c>
      <c r="G96" s="139">
        <f t="shared" si="3"/>
        <v>814219</v>
      </c>
      <c r="H96" s="139">
        <f t="shared" si="3"/>
        <v>2246674</v>
      </c>
      <c r="I96" s="139">
        <f t="shared" si="3"/>
        <v>1942990</v>
      </c>
      <c r="J96" s="139">
        <f t="shared" si="3"/>
        <v>1420564</v>
      </c>
      <c r="K96" s="139">
        <f t="shared" si="3"/>
        <v>2541166</v>
      </c>
      <c r="L96" s="124"/>
      <c r="M96" s="122"/>
      <c r="N96" s="122"/>
      <c r="O96" s="122"/>
      <c r="P96" s="51"/>
    </row>
    <row r="97" spans="16:16" x14ac:dyDescent="0.25">
      <c r="P97" s="20"/>
    </row>
  </sheetData>
  <mergeCells count="1">
    <mergeCell ref="Q25:Q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116" t="s">
        <v>153</v>
      </c>
      <c r="B1" s="117"/>
      <c r="C1" s="117"/>
      <c r="D1" s="117"/>
      <c r="E1" s="117"/>
    </row>
    <row r="2" spans="1:7" ht="14.4" x14ac:dyDescent="0.3">
      <c r="A2" s="117"/>
      <c r="B2" s="117"/>
      <c r="C2" s="117"/>
      <c r="D2" s="117"/>
      <c r="E2" s="117"/>
    </row>
    <row r="3" spans="1:7" ht="14.4" x14ac:dyDescent="0.3">
      <c r="A3" s="118" t="s">
        <v>127</v>
      </c>
      <c r="B3" s="119" t="e">
        <f>#REF!</f>
        <v>#REF!</v>
      </c>
      <c r="C3" s="117"/>
      <c r="D3" s="117"/>
      <c r="E3" s="117"/>
    </row>
    <row r="4" spans="1:7" ht="14.4" x14ac:dyDescent="0.3">
      <c r="A4" s="118" t="s">
        <v>123</v>
      </c>
      <c r="B4" s="120" t="e">
        <f>B3</f>
        <v>#REF!</v>
      </c>
      <c r="C4" s="117"/>
      <c r="D4" s="117"/>
      <c r="E4" s="117"/>
    </row>
    <row r="5" spans="1:7" ht="14.4" x14ac:dyDescent="0.3">
      <c r="A5" s="117"/>
      <c r="B5" s="117"/>
      <c r="C5" s="117"/>
      <c r="D5" s="117"/>
      <c r="E5" s="117"/>
    </row>
    <row r="6" spans="1:7" ht="15.6" x14ac:dyDescent="0.3">
      <c r="A6" s="232" t="s">
        <v>184</v>
      </c>
      <c r="B6" s="233"/>
      <c r="C6" s="233"/>
      <c r="D6" s="233"/>
      <c r="E6" s="233"/>
      <c r="F6" s="233"/>
      <c r="G6" s="234"/>
    </row>
    <row r="7" spans="1:7" ht="15.6" x14ac:dyDescent="0.3">
      <c r="A7" s="232" t="s">
        <v>144</v>
      </c>
      <c r="B7" s="233"/>
      <c r="C7" s="233"/>
      <c r="D7" s="233"/>
      <c r="E7" s="233"/>
      <c r="F7" s="233"/>
      <c r="G7" s="234"/>
    </row>
    <row r="8" spans="1:7" x14ac:dyDescent="0.25">
      <c r="A8" s="235" t="s">
        <v>116</v>
      </c>
      <c r="B8" s="236"/>
      <c r="C8" s="236"/>
      <c r="D8" s="236"/>
      <c r="E8" s="236"/>
      <c r="F8" s="236"/>
      <c r="G8" s="237"/>
    </row>
    <row r="9" spans="1:7" x14ac:dyDescent="0.25">
      <c r="A9" s="130"/>
      <c r="B9" s="130" t="s">
        <v>114</v>
      </c>
      <c r="C9" s="130" t="s">
        <v>115</v>
      </c>
      <c r="D9" s="130" t="s">
        <v>145</v>
      </c>
      <c r="E9" s="130" t="s">
        <v>182</v>
      </c>
      <c r="F9" s="130" t="s">
        <v>220</v>
      </c>
      <c r="G9" s="130" t="s">
        <v>220</v>
      </c>
    </row>
    <row r="10" spans="1:7" x14ac:dyDescent="0.25">
      <c r="A10" s="129">
        <v>1</v>
      </c>
      <c r="B10" s="129" t="s">
        <v>125</v>
      </c>
      <c r="C10" s="131">
        <v>0</v>
      </c>
      <c r="D10" s="131">
        <v>0</v>
      </c>
      <c r="E10" s="131">
        <v>0</v>
      </c>
      <c r="F10" s="132">
        <f t="shared" ref="F10:F61" si="0">SUM(C10:E10)</f>
        <v>0</v>
      </c>
      <c r="G10" s="132">
        <f>F10</f>
        <v>0</v>
      </c>
    </row>
    <row r="11" spans="1:7" x14ac:dyDescent="0.25">
      <c r="A11" s="129">
        <v>2</v>
      </c>
      <c r="B11" s="129" t="s">
        <v>132</v>
      </c>
      <c r="C11" s="131">
        <v>0</v>
      </c>
      <c r="D11" s="131">
        <v>0</v>
      </c>
      <c r="E11" s="131">
        <v>0</v>
      </c>
      <c r="F11" s="132">
        <f t="shared" si="0"/>
        <v>0</v>
      </c>
      <c r="G11" s="132">
        <f t="shared" ref="G11:G61" si="1">F11+G10</f>
        <v>0</v>
      </c>
    </row>
    <row r="12" spans="1:7" x14ac:dyDescent="0.25">
      <c r="A12" s="129">
        <v>3</v>
      </c>
      <c r="B12" s="129" t="s">
        <v>133</v>
      </c>
      <c r="C12" s="131">
        <v>22313</v>
      </c>
      <c r="D12" s="131">
        <v>0</v>
      </c>
      <c r="E12" s="131">
        <v>0</v>
      </c>
      <c r="F12" s="132">
        <f t="shared" si="0"/>
        <v>22313</v>
      </c>
      <c r="G12" s="132">
        <f t="shared" si="1"/>
        <v>22313</v>
      </c>
    </row>
    <row r="13" spans="1:7" x14ac:dyDescent="0.25">
      <c r="A13" s="129">
        <v>4</v>
      </c>
      <c r="B13" s="129" t="s">
        <v>134</v>
      </c>
      <c r="C13" s="131">
        <v>0</v>
      </c>
      <c r="D13" s="131">
        <v>0</v>
      </c>
      <c r="E13" s="131">
        <v>0</v>
      </c>
      <c r="F13" s="132">
        <f t="shared" si="0"/>
        <v>0</v>
      </c>
      <c r="G13" s="132">
        <f t="shared" si="1"/>
        <v>22313</v>
      </c>
    </row>
    <row r="14" spans="1:7" x14ac:dyDescent="0.25">
      <c r="A14" s="129">
        <v>5</v>
      </c>
      <c r="B14" s="129" t="s">
        <v>135</v>
      </c>
      <c r="C14" s="131">
        <v>0</v>
      </c>
      <c r="D14" s="131">
        <v>0</v>
      </c>
      <c r="E14" s="131">
        <v>0</v>
      </c>
      <c r="F14" s="132">
        <f t="shared" si="0"/>
        <v>0</v>
      </c>
      <c r="G14" s="132">
        <f t="shared" si="1"/>
        <v>22313</v>
      </c>
    </row>
    <row r="15" spans="1:7" x14ac:dyDescent="0.25">
      <c r="A15" s="129">
        <v>6</v>
      </c>
      <c r="B15" s="129" t="s">
        <v>136</v>
      </c>
      <c r="C15" s="131">
        <v>0</v>
      </c>
      <c r="D15" s="131">
        <v>0</v>
      </c>
      <c r="E15" s="131">
        <v>0</v>
      </c>
      <c r="F15" s="132">
        <f t="shared" si="0"/>
        <v>0</v>
      </c>
      <c r="G15" s="132">
        <f t="shared" si="1"/>
        <v>22313</v>
      </c>
    </row>
    <row r="16" spans="1:7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2">
        <f t="shared" si="0"/>
        <v>0</v>
      </c>
      <c r="G16" s="132">
        <f t="shared" si="1"/>
        <v>22313</v>
      </c>
    </row>
    <row r="17" spans="1:7" x14ac:dyDescent="0.25">
      <c r="A17" s="129">
        <v>8</v>
      </c>
      <c r="B17" s="129" t="s">
        <v>138</v>
      </c>
      <c r="C17" s="131">
        <v>0</v>
      </c>
      <c r="D17" s="131">
        <v>0</v>
      </c>
      <c r="E17" s="131">
        <v>0</v>
      </c>
      <c r="F17" s="132">
        <f t="shared" si="0"/>
        <v>0</v>
      </c>
      <c r="G17" s="132">
        <f t="shared" si="1"/>
        <v>22313</v>
      </c>
    </row>
    <row r="18" spans="1:7" x14ac:dyDescent="0.25">
      <c r="A18" s="129">
        <v>9</v>
      </c>
      <c r="B18" s="129" t="s">
        <v>139</v>
      </c>
      <c r="C18" s="131">
        <v>1646</v>
      </c>
      <c r="D18" s="131">
        <v>0</v>
      </c>
      <c r="E18" s="131">
        <v>0</v>
      </c>
      <c r="F18" s="132">
        <f t="shared" si="0"/>
        <v>1646</v>
      </c>
      <c r="G18" s="132">
        <f t="shared" si="1"/>
        <v>23959</v>
      </c>
    </row>
    <row r="19" spans="1:7" x14ac:dyDescent="0.25">
      <c r="A19" s="129">
        <v>10</v>
      </c>
      <c r="B19" s="129" t="s">
        <v>140</v>
      </c>
      <c r="C19" s="131">
        <v>42211</v>
      </c>
      <c r="D19" s="131">
        <v>13807</v>
      </c>
      <c r="E19" s="131">
        <v>0</v>
      </c>
      <c r="F19" s="132">
        <f t="shared" si="0"/>
        <v>56018</v>
      </c>
      <c r="G19" s="132">
        <f t="shared" si="1"/>
        <v>79977</v>
      </c>
    </row>
    <row r="20" spans="1:7" x14ac:dyDescent="0.25">
      <c r="A20" s="129">
        <v>11</v>
      </c>
      <c r="B20" s="129" t="s">
        <v>141</v>
      </c>
      <c r="C20" s="131">
        <v>18983</v>
      </c>
      <c r="D20" s="131">
        <v>0</v>
      </c>
      <c r="E20" s="131">
        <v>0</v>
      </c>
      <c r="F20" s="132">
        <f t="shared" si="0"/>
        <v>18983</v>
      </c>
      <c r="G20" s="132">
        <f t="shared" si="1"/>
        <v>98960</v>
      </c>
    </row>
    <row r="21" spans="1:7" x14ac:dyDescent="0.25">
      <c r="A21" s="129">
        <v>12</v>
      </c>
      <c r="B21" s="129" t="s">
        <v>143</v>
      </c>
      <c r="C21" s="131">
        <v>31496</v>
      </c>
      <c r="D21" s="131">
        <v>600</v>
      </c>
      <c r="E21" s="131">
        <v>0</v>
      </c>
      <c r="F21" s="132">
        <f t="shared" si="0"/>
        <v>32096</v>
      </c>
      <c r="G21" s="132">
        <f t="shared" si="1"/>
        <v>131056</v>
      </c>
    </row>
    <row r="22" spans="1:7" x14ac:dyDescent="0.25">
      <c r="A22" s="129">
        <v>13</v>
      </c>
      <c r="B22" s="129" t="s">
        <v>146</v>
      </c>
      <c r="C22" s="131">
        <v>7745</v>
      </c>
      <c r="D22" s="131">
        <v>15815</v>
      </c>
      <c r="E22" s="131">
        <v>0</v>
      </c>
      <c r="F22" s="132">
        <f t="shared" si="0"/>
        <v>23560</v>
      </c>
      <c r="G22" s="132">
        <f t="shared" si="1"/>
        <v>154616</v>
      </c>
    </row>
    <row r="23" spans="1:7" x14ac:dyDescent="0.25">
      <c r="A23" s="129">
        <v>14</v>
      </c>
      <c r="B23" s="129" t="s">
        <v>150</v>
      </c>
      <c r="C23" s="131">
        <v>17262</v>
      </c>
      <c r="D23" s="131">
        <v>0</v>
      </c>
      <c r="E23" s="131">
        <v>0</v>
      </c>
      <c r="F23" s="132">
        <f t="shared" si="0"/>
        <v>17262</v>
      </c>
      <c r="G23" s="132">
        <f t="shared" si="1"/>
        <v>171878</v>
      </c>
    </row>
    <row r="24" spans="1:7" x14ac:dyDescent="0.25">
      <c r="A24" s="129">
        <v>15</v>
      </c>
      <c r="B24" s="129" t="s">
        <v>151</v>
      </c>
      <c r="C24" s="131">
        <v>0</v>
      </c>
      <c r="D24" s="131">
        <v>2894</v>
      </c>
      <c r="E24" s="131">
        <v>0</v>
      </c>
      <c r="F24" s="132">
        <f t="shared" si="0"/>
        <v>2894</v>
      </c>
      <c r="G24" s="132">
        <f t="shared" si="1"/>
        <v>174772</v>
      </c>
    </row>
    <row r="25" spans="1:7" x14ac:dyDescent="0.25">
      <c r="A25" s="129">
        <v>16</v>
      </c>
      <c r="B25" s="129" t="s">
        <v>157</v>
      </c>
      <c r="C25" s="131">
        <v>28877</v>
      </c>
      <c r="D25" s="131">
        <v>13605</v>
      </c>
      <c r="E25" s="131">
        <v>0</v>
      </c>
      <c r="F25" s="132">
        <f t="shared" si="0"/>
        <v>42482</v>
      </c>
      <c r="G25" s="132">
        <f t="shared" si="1"/>
        <v>217254</v>
      </c>
    </row>
    <row r="26" spans="1:7" x14ac:dyDescent="0.25">
      <c r="A26" s="129">
        <v>17</v>
      </c>
      <c r="B26" s="129" t="s">
        <v>158</v>
      </c>
      <c r="C26" s="131">
        <v>58091</v>
      </c>
      <c r="D26" s="131">
        <v>0</v>
      </c>
      <c r="E26" s="131">
        <v>0</v>
      </c>
      <c r="F26" s="132">
        <f t="shared" si="0"/>
        <v>58091</v>
      </c>
      <c r="G26" s="132">
        <f t="shared" si="1"/>
        <v>275345</v>
      </c>
    </row>
    <row r="27" spans="1:7" x14ac:dyDescent="0.25">
      <c r="A27" s="129">
        <v>18</v>
      </c>
      <c r="B27" s="129" t="s">
        <v>159</v>
      </c>
      <c r="C27" s="131">
        <v>14049</v>
      </c>
      <c r="D27" s="131">
        <v>4542</v>
      </c>
      <c r="E27" s="131">
        <v>0</v>
      </c>
      <c r="F27" s="132">
        <f t="shared" si="0"/>
        <v>18591</v>
      </c>
      <c r="G27" s="132">
        <f t="shared" si="1"/>
        <v>293936</v>
      </c>
    </row>
    <row r="28" spans="1:7" x14ac:dyDescent="0.25">
      <c r="A28" s="129">
        <v>19</v>
      </c>
      <c r="B28" s="129" t="s">
        <v>170</v>
      </c>
      <c r="C28" s="131">
        <v>65488</v>
      </c>
      <c r="D28" s="131">
        <v>8978</v>
      </c>
      <c r="E28" s="131">
        <v>0</v>
      </c>
      <c r="F28" s="132">
        <f t="shared" si="0"/>
        <v>74466</v>
      </c>
      <c r="G28" s="132">
        <f t="shared" si="1"/>
        <v>368402</v>
      </c>
    </row>
    <row r="29" spans="1:7" x14ac:dyDescent="0.25">
      <c r="A29" s="129">
        <v>20</v>
      </c>
      <c r="B29" s="129" t="s">
        <v>171</v>
      </c>
      <c r="C29" s="131">
        <v>0</v>
      </c>
      <c r="D29" s="131">
        <v>0</v>
      </c>
      <c r="E29" s="131">
        <v>0</v>
      </c>
      <c r="F29" s="132">
        <f t="shared" si="0"/>
        <v>0</v>
      </c>
      <c r="G29" s="132">
        <f t="shared" si="1"/>
        <v>368402</v>
      </c>
    </row>
    <row r="30" spans="1:7" x14ac:dyDescent="0.25">
      <c r="A30" s="129">
        <v>21</v>
      </c>
      <c r="B30" s="129" t="s">
        <v>172</v>
      </c>
      <c r="C30" s="131">
        <v>0</v>
      </c>
      <c r="D30" s="131">
        <v>17504</v>
      </c>
      <c r="E30" s="131">
        <v>0</v>
      </c>
      <c r="F30" s="132">
        <f t="shared" si="0"/>
        <v>17504</v>
      </c>
      <c r="G30" s="132">
        <f t="shared" si="1"/>
        <v>385906</v>
      </c>
    </row>
    <row r="31" spans="1:7" x14ac:dyDescent="0.25">
      <c r="A31" s="129">
        <v>22</v>
      </c>
      <c r="B31" s="129" t="s">
        <v>173</v>
      </c>
      <c r="C31" s="131">
        <v>33320</v>
      </c>
      <c r="D31" s="131">
        <v>0</v>
      </c>
      <c r="E31" s="131">
        <v>0</v>
      </c>
      <c r="F31" s="132">
        <f t="shared" si="0"/>
        <v>33320</v>
      </c>
      <c r="G31" s="132">
        <f t="shared" si="1"/>
        <v>419226</v>
      </c>
    </row>
    <row r="32" spans="1:7" x14ac:dyDescent="0.25">
      <c r="A32" s="129">
        <v>23</v>
      </c>
      <c r="B32" s="129" t="s">
        <v>174</v>
      </c>
      <c r="C32" s="131">
        <v>20565</v>
      </c>
      <c r="D32" s="131">
        <v>0</v>
      </c>
      <c r="E32" s="131">
        <v>0</v>
      </c>
      <c r="F32" s="132">
        <f t="shared" si="0"/>
        <v>20565</v>
      </c>
      <c r="G32" s="132">
        <f t="shared" si="1"/>
        <v>439791</v>
      </c>
    </row>
    <row r="33" spans="1:7" x14ac:dyDescent="0.25">
      <c r="A33" s="129">
        <v>24</v>
      </c>
      <c r="B33" s="129" t="s">
        <v>175</v>
      </c>
      <c r="C33" s="131">
        <v>6544</v>
      </c>
      <c r="D33" s="131">
        <v>0</v>
      </c>
      <c r="E33" s="131">
        <v>0</v>
      </c>
      <c r="F33" s="132">
        <f t="shared" si="0"/>
        <v>6544</v>
      </c>
      <c r="G33" s="132">
        <f t="shared" si="1"/>
        <v>446335</v>
      </c>
    </row>
    <row r="34" spans="1:7" x14ac:dyDescent="0.25">
      <c r="A34" s="129">
        <v>25</v>
      </c>
      <c r="B34" s="129" t="s">
        <v>176</v>
      </c>
      <c r="C34" s="131">
        <v>28262</v>
      </c>
      <c r="D34" s="131">
        <v>0</v>
      </c>
      <c r="E34" s="131">
        <v>0</v>
      </c>
      <c r="F34" s="132">
        <f t="shared" si="0"/>
        <v>28262</v>
      </c>
      <c r="G34" s="132">
        <f t="shared" si="1"/>
        <v>474597</v>
      </c>
    </row>
    <row r="35" spans="1:7" x14ac:dyDescent="0.25">
      <c r="A35" s="129">
        <v>26</v>
      </c>
      <c r="B35" s="129" t="s">
        <v>178</v>
      </c>
      <c r="C35" s="131">
        <v>36656</v>
      </c>
      <c r="D35" s="131">
        <v>20660</v>
      </c>
      <c r="E35" s="131">
        <v>0</v>
      </c>
      <c r="F35" s="132">
        <f t="shared" si="0"/>
        <v>57316</v>
      </c>
      <c r="G35" s="132">
        <f t="shared" si="1"/>
        <v>531913</v>
      </c>
    </row>
    <row r="36" spans="1:7" x14ac:dyDescent="0.25">
      <c r="A36" s="129">
        <v>27</v>
      </c>
      <c r="B36" s="129" t="s">
        <v>179</v>
      </c>
      <c r="C36" s="131">
        <v>57153</v>
      </c>
      <c r="D36" s="131">
        <v>5843</v>
      </c>
      <c r="E36" s="131">
        <v>0</v>
      </c>
      <c r="F36" s="132">
        <f t="shared" si="0"/>
        <v>62996</v>
      </c>
      <c r="G36" s="132">
        <f t="shared" si="1"/>
        <v>594909</v>
      </c>
    </row>
    <row r="37" spans="1:7" x14ac:dyDescent="0.25">
      <c r="A37" s="129">
        <v>28</v>
      </c>
      <c r="B37" s="129" t="s">
        <v>180</v>
      </c>
      <c r="C37" s="131">
        <v>18023</v>
      </c>
      <c r="D37" s="131">
        <v>0</v>
      </c>
      <c r="E37" s="131">
        <v>0</v>
      </c>
      <c r="F37" s="132">
        <f t="shared" si="0"/>
        <v>18023</v>
      </c>
      <c r="G37" s="132">
        <f t="shared" si="1"/>
        <v>612932</v>
      </c>
    </row>
    <row r="38" spans="1:7" x14ac:dyDescent="0.25">
      <c r="A38" s="129">
        <v>29</v>
      </c>
      <c r="B38" s="129" t="s">
        <v>181</v>
      </c>
      <c r="C38" s="131">
        <v>49972</v>
      </c>
      <c r="D38" s="131">
        <v>0</v>
      </c>
      <c r="E38" s="131">
        <v>2482</v>
      </c>
      <c r="F38" s="132">
        <f t="shared" si="0"/>
        <v>52454</v>
      </c>
      <c r="G38" s="132">
        <f t="shared" si="1"/>
        <v>665386</v>
      </c>
    </row>
    <row r="39" spans="1:7" x14ac:dyDescent="0.25">
      <c r="A39" s="129">
        <v>30</v>
      </c>
      <c r="B39" s="129" t="s">
        <v>183</v>
      </c>
      <c r="C39" s="131">
        <v>28646</v>
      </c>
      <c r="D39" s="131">
        <v>11475</v>
      </c>
      <c r="E39" s="131">
        <v>7805</v>
      </c>
      <c r="F39" s="132">
        <f t="shared" si="0"/>
        <v>47926</v>
      </c>
      <c r="G39" s="132">
        <f t="shared" si="1"/>
        <v>713312</v>
      </c>
    </row>
    <row r="40" spans="1:7" x14ac:dyDescent="0.25">
      <c r="A40" s="129">
        <v>31</v>
      </c>
      <c r="B40" s="129" t="s">
        <v>185</v>
      </c>
      <c r="C40" s="131">
        <v>32601</v>
      </c>
      <c r="D40" s="131">
        <v>9267</v>
      </c>
      <c r="E40" s="131">
        <v>0</v>
      </c>
      <c r="F40" s="132">
        <f t="shared" si="0"/>
        <v>41868</v>
      </c>
      <c r="G40" s="132">
        <f t="shared" si="1"/>
        <v>755180</v>
      </c>
    </row>
    <row r="41" spans="1:7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2">
        <f t="shared" si="0"/>
        <v>0</v>
      </c>
      <c r="G41" s="132">
        <f t="shared" si="1"/>
        <v>755180</v>
      </c>
    </row>
    <row r="42" spans="1:7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2">
        <f t="shared" si="0"/>
        <v>0</v>
      </c>
      <c r="G42" s="132">
        <f t="shared" si="1"/>
        <v>755180</v>
      </c>
    </row>
    <row r="43" spans="1:7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2">
        <f t="shared" si="0"/>
        <v>0</v>
      </c>
      <c r="G43" s="132">
        <f t="shared" si="1"/>
        <v>755180</v>
      </c>
    </row>
    <row r="44" spans="1:7" x14ac:dyDescent="0.25">
      <c r="A44" s="129">
        <v>35</v>
      </c>
      <c r="B44" s="129" t="s">
        <v>189</v>
      </c>
      <c r="C44" s="131">
        <v>17521</v>
      </c>
      <c r="D44" s="131">
        <v>26061</v>
      </c>
      <c r="E44" s="131">
        <v>0</v>
      </c>
      <c r="F44" s="132">
        <f t="shared" si="0"/>
        <v>43582</v>
      </c>
      <c r="G44" s="132">
        <f t="shared" si="1"/>
        <v>798762</v>
      </c>
    </row>
    <row r="45" spans="1:7" x14ac:dyDescent="0.25">
      <c r="A45" s="129">
        <v>36</v>
      </c>
      <c r="B45" s="129" t="s">
        <v>191</v>
      </c>
      <c r="C45" s="131">
        <v>4145</v>
      </c>
      <c r="D45" s="131">
        <v>0</v>
      </c>
      <c r="E45" s="131">
        <v>0</v>
      </c>
      <c r="F45" s="132">
        <f t="shared" si="0"/>
        <v>4145</v>
      </c>
      <c r="G45" s="132">
        <f t="shared" si="1"/>
        <v>802907</v>
      </c>
    </row>
    <row r="46" spans="1:7" x14ac:dyDescent="0.25">
      <c r="A46" s="129">
        <v>37</v>
      </c>
      <c r="B46" s="129" t="s">
        <v>192</v>
      </c>
      <c r="C46" s="131">
        <v>26531</v>
      </c>
      <c r="D46" s="131">
        <v>0</v>
      </c>
      <c r="E46" s="131">
        <v>0</v>
      </c>
      <c r="F46" s="132">
        <f t="shared" si="0"/>
        <v>26531</v>
      </c>
      <c r="G46" s="132">
        <f t="shared" si="1"/>
        <v>829438</v>
      </c>
    </row>
    <row r="47" spans="1:7" x14ac:dyDescent="0.25">
      <c r="A47" s="129">
        <v>38</v>
      </c>
      <c r="B47" s="129" t="s">
        <v>193</v>
      </c>
      <c r="C47" s="131">
        <v>0</v>
      </c>
      <c r="D47" s="131">
        <v>0</v>
      </c>
      <c r="E47" s="131">
        <v>0</v>
      </c>
      <c r="F47" s="132">
        <f t="shared" si="0"/>
        <v>0</v>
      </c>
      <c r="G47" s="132">
        <f t="shared" si="1"/>
        <v>829438</v>
      </c>
    </row>
    <row r="48" spans="1:7" x14ac:dyDescent="0.25">
      <c r="A48" s="129">
        <v>39</v>
      </c>
      <c r="B48" s="129" t="s">
        <v>195</v>
      </c>
      <c r="C48" s="131">
        <v>17090</v>
      </c>
      <c r="D48" s="131">
        <v>4307</v>
      </c>
      <c r="E48" s="131">
        <v>0</v>
      </c>
      <c r="F48" s="132">
        <f t="shared" si="0"/>
        <v>21397</v>
      </c>
      <c r="G48" s="132">
        <f t="shared" si="1"/>
        <v>850835</v>
      </c>
    </row>
    <row r="49" spans="1:7" x14ac:dyDescent="0.25">
      <c r="A49" s="129">
        <v>40</v>
      </c>
      <c r="B49" s="129" t="s">
        <v>198</v>
      </c>
      <c r="C49" s="131">
        <v>0</v>
      </c>
      <c r="D49" s="131">
        <v>16740</v>
      </c>
      <c r="E49" s="131">
        <v>0</v>
      </c>
      <c r="F49" s="132">
        <f t="shared" si="0"/>
        <v>16740</v>
      </c>
      <c r="G49" s="132">
        <f t="shared" si="1"/>
        <v>867575</v>
      </c>
    </row>
    <row r="50" spans="1:7" x14ac:dyDescent="0.25">
      <c r="A50" s="129">
        <v>41</v>
      </c>
      <c r="B50" s="129" t="s">
        <v>201</v>
      </c>
      <c r="C50" s="131">
        <v>0</v>
      </c>
      <c r="D50" s="131">
        <v>3590</v>
      </c>
      <c r="E50" s="131">
        <v>0</v>
      </c>
      <c r="F50" s="132">
        <f t="shared" si="0"/>
        <v>3590</v>
      </c>
      <c r="G50" s="132">
        <f t="shared" si="1"/>
        <v>871165</v>
      </c>
    </row>
    <row r="51" spans="1:7" x14ac:dyDescent="0.25">
      <c r="A51" s="129">
        <v>42</v>
      </c>
      <c r="B51" s="129" t="s">
        <v>202</v>
      </c>
      <c r="C51" s="131">
        <v>0</v>
      </c>
      <c r="D51" s="131">
        <v>0</v>
      </c>
      <c r="E51" s="131">
        <v>0</v>
      </c>
      <c r="F51" s="132">
        <f t="shared" si="0"/>
        <v>0</v>
      </c>
      <c r="G51" s="132">
        <f t="shared" si="1"/>
        <v>871165</v>
      </c>
    </row>
    <row r="52" spans="1:7" x14ac:dyDescent="0.25">
      <c r="A52" s="129">
        <v>43</v>
      </c>
      <c r="B52" s="129" t="s">
        <v>204</v>
      </c>
      <c r="C52" s="131">
        <v>0</v>
      </c>
      <c r="D52" s="131">
        <v>0</v>
      </c>
      <c r="E52" s="131">
        <v>0</v>
      </c>
      <c r="F52" s="132">
        <f t="shared" si="0"/>
        <v>0</v>
      </c>
      <c r="G52" s="132">
        <f t="shared" si="1"/>
        <v>871165</v>
      </c>
    </row>
    <row r="53" spans="1:7" x14ac:dyDescent="0.25">
      <c r="A53" s="129">
        <v>44</v>
      </c>
      <c r="B53" s="129" t="s">
        <v>206</v>
      </c>
      <c r="C53" s="131">
        <v>0</v>
      </c>
      <c r="D53" s="131">
        <v>0</v>
      </c>
      <c r="E53" s="131">
        <v>0</v>
      </c>
      <c r="F53" s="132">
        <f t="shared" si="0"/>
        <v>0</v>
      </c>
      <c r="G53" s="132">
        <f t="shared" si="1"/>
        <v>871165</v>
      </c>
    </row>
    <row r="54" spans="1:7" x14ac:dyDescent="0.25">
      <c r="A54" s="129">
        <v>45</v>
      </c>
      <c r="B54" s="129" t="s">
        <v>207</v>
      </c>
      <c r="C54" s="131">
        <v>0</v>
      </c>
      <c r="D54" s="131">
        <v>0</v>
      </c>
      <c r="E54" s="131">
        <v>0</v>
      </c>
      <c r="F54" s="132">
        <f t="shared" si="0"/>
        <v>0</v>
      </c>
      <c r="G54" s="132">
        <f t="shared" si="1"/>
        <v>871165</v>
      </c>
    </row>
    <row r="55" spans="1:7" x14ac:dyDescent="0.25">
      <c r="A55" s="129">
        <v>46</v>
      </c>
      <c r="B55" s="129" t="s">
        <v>208</v>
      </c>
      <c r="C55" s="131">
        <v>16455</v>
      </c>
      <c r="D55" s="131">
        <v>0</v>
      </c>
      <c r="E55" s="131">
        <v>0</v>
      </c>
      <c r="F55" s="132">
        <f t="shared" si="0"/>
        <v>16455</v>
      </c>
      <c r="G55" s="132">
        <f t="shared" si="1"/>
        <v>887620</v>
      </c>
    </row>
    <row r="56" spans="1:7" x14ac:dyDescent="0.25">
      <c r="A56" s="129">
        <v>47</v>
      </c>
      <c r="B56" s="129" t="s">
        <v>209</v>
      </c>
      <c r="C56" s="131">
        <v>560</v>
      </c>
      <c r="D56" s="131">
        <v>10652</v>
      </c>
      <c r="E56" s="131">
        <v>0</v>
      </c>
      <c r="F56" s="132">
        <f t="shared" si="0"/>
        <v>11212</v>
      </c>
      <c r="G56" s="132">
        <f t="shared" si="1"/>
        <v>898832</v>
      </c>
    </row>
    <row r="57" spans="1:7" x14ac:dyDescent="0.25">
      <c r="A57" s="129">
        <v>48</v>
      </c>
      <c r="B57" s="129" t="s">
        <v>211</v>
      </c>
      <c r="C57" s="131">
        <v>0</v>
      </c>
      <c r="D57" s="131">
        <v>14068</v>
      </c>
      <c r="E57" s="131">
        <v>0</v>
      </c>
      <c r="F57" s="132">
        <f t="shared" si="0"/>
        <v>14068</v>
      </c>
      <c r="G57" s="132">
        <f t="shared" si="1"/>
        <v>912900</v>
      </c>
    </row>
    <row r="58" spans="1:7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2">
        <f t="shared" si="0"/>
        <v>0</v>
      </c>
      <c r="G58" s="132">
        <f t="shared" si="1"/>
        <v>912900</v>
      </c>
    </row>
    <row r="59" spans="1:7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2">
        <f t="shared" si="0"/>
        <v>0</v>
      </c>
      <c r="G59" s="132">
        <f t="shared" si="1"/>
        <v>912900</v>
      </c>
    </row>
    <row r="60" spans="1:7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2">
        <f t="shared" si="0"/>
        <v>0</v>
      </c>
      <c r="G60" s="132">
        <f t="shared" si="1"/>
        <v>912900</v>
      </c>
    </row>
    <row r="61" spans="1:7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2">
        <f t="shared" si="0"/>
        <v>0</v>
      </c>
      <c r="G61" s="132">
        <f t="shared" si="1"/>
        <v>912900</v>
      </c>
    </row>
    <row r="62" spans="1:7" x14ac:dyDescent="0.25">
      <c r="A62" s="129" t="s">
        <v>116</v>
      </c>
      <c r="B62" s="129" t="s">
        <v>117</v>
      </c>
      <c r="C62" s="132">
        <f>SUM(C10:C61)</f>
        <v>702205</v>
      </c>
      <c r="D62" s="132">
        <f>SUM(D10:D61)</f>
        <v>200408</v>
      </c>
      <c r="E62" s="132">
        <f>SUM(E10:E61)</f>
        <v>10287</v>
      </c>
      <c r="F62" s="132">
        <f>SUM(F10:F61)</f>
        <v>912900</v>
      </c>
      <c r="G62" s="132"/>
    </row>
    <row r="64" spans="1:7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116" t="s">
        <v>152</v>
      </c>
      <c r="B1" s="117"/>
      <c r="C1" s="117"/>
      <c r="D1" s="117"/>
      <c r="E1" s="117"/>
      <c r="F1" s="117"/>
    </row>
    <row r="2" spans="1:8" ht="14.4" x14ac:dyDescent="0.3">
      <c r="A2" s="117"/>
      <c r="B2" s="117"/>
      <c r="C2" s="117"/>
      <c r="D2" s="117"/>
      <c r="E2" s="117"/>
      <c r="F2" s="117"/>
    </row>
    <row r="3" spans="1:8" ht="14.4" x14ac:dyDescent="0.3">
      <c r="A3" s="118" t="s">
        <v>127</v>
      </c>
      <c r="B3" s="119" t="e">
        <f>#REF!</f>
        <v>#REF!</v>
      </c>
      <c r="C3" s="117"/>
      <c r="D3" s="117"/>
      <c r="E3" s="117"/>
      <c r="F3" s="117"/>
    </row>
    <row r="4" spans="1:8" ht="14.4" x14ac:dyDescent="0.3">
      <c r="A4" s="118" t="s">
        <v>123</v>
      </c>
      <c r="B4" s="120" t="e">
        <f>B3</f>
        <v>#REF!</v>
      </c>
      <c r="C4" s="117"/>
      <c r="D4" s="117"/>
      <c r="E4" s="117"/>
      <c r="F4" s="117"/>
    </row>
    <row r="5" spans="1:8" ht="14.4" x14ac:dyDescent="0.3">
      <c r="A5" s="117"/>
      <c r="B5" s="117"/>
      <c r="C5" s="117"/>
      <c r="D5" s="117"/>
      <c r="E5" s="117"/>
      <c r="F5" s="117"/>
    </row>
    <row r="6" spans="1:8" ht="15.6" x14ac:dyDescent="0.3">
      <c r="A6" s="232" t="s">
        <v>196</v>
      </c>
      <c r="B6" s="233"/>
      <c r="C6" s="233"/>
      <c r="D6" s="233"/>
      <c r="E6" s="233"/>
      <c r="F6" s="233"/>
      <c r="G6" s="233"/>
      <c r="H6" s="234"/>
    </row>
    <row r="7" spans="1:8" ht="15.6" x14ac:dyDescent="0.3">
      <c r="A7" s="232" t="s">
        <v>124</v>
      </c>
      <c r="B7" s="233"/>
      <c r="C7" s="233"/>
      <c r="D7" s="233"/>
      <c r="E7" s="233"/>
      <c r="F7" s="233"/>
      <c r="G7" s="233"/>
      <c r="H7" s="234"/>
    </row>
    <row r="8" spans="1:8" x14ac:dyDescent="0.25">
      <c r="A8" s="235" t="s">
        <v>116</v>
      </c>
      <c r="B8" s="236"/>
      <c r="C8" s="236"/>
      <c r="D8" s="236"/>
      <c r="E8" s="236"/>
      <c r="F8" s="236"/>
      <c r="G8" s="236"/>
      <c r="H8" s="237"/>
    </row>
    <row r="9" spans="1:8" x14ac:dyDescent="0.25">
      <c r="A9" s="130"/>
      <c r="B9" s="130" t="s">
        <v>114</v>
      </c>
      <c r="C9" s="130" t="s">
        <v>118</v>
      </c>
      <c r="D9" s="130" t="s">
        <v>115</v>
      </c>
      <c r="E9" s="130" t="s">
        <v>145</v>
      </c>
      <c r="F9" s="130" t="s">
        <v>119</v>
      </c>
      <c r="G9" s="130" t="s">
        <v>220</v>
      </c>
      <c r="H9" s="130" t="s">
        <v>220</v>
      </c>
    </row>
    <row r="10" spans="1:8" x14ac:dyDescent="0.25">
      <c r="A10" s="129">
        <v>1</v>
      </c>
      <c r="B10" s="129" t="s">
        <v>125</v>
      </c>
      <c r="C10" s="131">
        <v>16689</v>
      </c>
      <c r="D10" s="131">
        <v>7161</v>
      </c>
      <c r="E10" s="131">
        <v>0</v>
      </c>
      <c r="F10" s="131">
        <v>2460</v>
      </c>
      <c r="G10" s="132">
        <f t="shared" ref="G10:G61" si="0">SUM(C10:F10)</f>
        <v>26310</v>
      </c>
      <c r="H10" s="132">
        <f>G10</f>
        <v>26310</v>
      </c>
    </row>
    <row r="11" spans="1:8" x14ac:dyDescent="0.25">
      <c r="A11" s="129">
        <v>2</v>
      </c>
      <c r="B11" s="129" t="s">
        <v>132</v>
      </c>
      <c r="C11" s="131">
        <v>48801</v>
      </c>
      <c r="D11" s="131">
        <v>7109</v>
      </c>
      <c r="E11" s="131">
        <v>0</v>
      </c>
      <c r="F11" s="131">
        <v>0</v>
      </c>
      <c r="G11" s="132">
        <f t="shared" si="0"/>
        <v>55910</v>
      </c>
      <c r="H11" s="132">
        <f t="shared" ref="H11:H61" si="1">G11+H10</f>
        <v>82220</v>
      </c>
    </row>
    <row r="12" spans="1:8" x14ac:dyDescent="0.25">
      <c r="A12" s="129">
        <v>3</v>
      </c>
      <c r="B12" s="129" t="s">
        <v>133</v>
      </c>
      <c r="C12" s="131">
        <v>28425</v>
      </c>
      <c r="D12" s="131">
        <v>0</v>
      </c>
      <c r="E12" s="131">
        <v>0</v>
      </c>
      <c r="F12" s="131">
        <v>0</v>
      </c>
      <c r="G12" s="132">
        <f t="shared" si="0"/>
        <v>28425</v>
      </c>
      <c r="H12" s="132">
        <f t="shared" si="1"/>
        <v>110645</v>
      </c>
    </row>
    <row r="13" spans="1:8" x14ac:dyDescent="0.25">
      <c r="A13" s="129">
        <v>4</v>
      </c>
      <c r="B13" s="129" t="s">
        <v>134</v>
      </c>
      <c r="C13" s="131">
        <v>3802</v>
      </c>
      <c r="D13" s="131">
        <v>32831</v>
      </c>
      <c r="E13" s="131">
        <v>0</v>
      </c>
      <c r="F13" s="131">
        <v>0</v>
      </c>
      <c r="G13" s="132">
        <f t="shared" si="0"/>
        <v>36633</v>
      </c>
      <c r="H13" s="132">
        <f t="shared" si="1"/>
        <v>147278</v>
      </c>
    </row>
    <row r="14" spans="1:8" x14ac:dyDescent="0.25">
      <c r="A14" s="129">
        <v>5</v>
      </c>
      <c r="B14" s="129" t="s">
        <v>135</v>
      </c>
      <c r="C14" s="131">
        <v>8237</v>
      </c>
      <c r="D14" s="131">
        <v>0</v>
      </c>
      <c r="E14" s="131">
        <v>0</v>
      </c>
      <c r="F14" s="131">
        <v>15184</v>
      </c>
      <c r="G14" s="132">
        <f t="shared" si="0"/>
        <v>23421</v>
      </c>
      <c r="H14" s="132">
        <f t="shared" si="1"/>
        <v>170699</v>
      </c>
    </row>
    <row r="15" spans="1:8" x14ac:dyDescent="0.25">
      <c r="A15" s="129">
        <v>6</v>
      </c>
      <c r="B15" s="129" t="s">
        <v>136</v>
      </c>
      <c r="C15" s="131">
        <v>24500</v>
      </c>
      <c r="D15" s="131">
        <v>25096</v>
      </c>
      <c r="E15" s="131">
        <v>0</v>
      </c>
      <c r="F15" s="131">
        <v>13698</v>
      </c>
      <c r="G15" s="132">
        <f t="shared" si="0"/>
        <v>63294</v>
      </c>
      <c r="H15" s="132">
        <f t="shared" si="1"/>
        <v>233993</v>
      </c>
    </row>
    <row r="16" spans="1:8" x14ac:dyDescent="0.25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233993</v>
      </c>
    </row>
    <row r="17" spans="1:8" x14ac:dyDescent="0.25">
      <c r="A17" s="129">
        <v>8</v>
      </c>
      <c r="B17" s="129" t="s">
        <v>138</v>
      </c>
      <c r="C17" s="131">
        <v>23166</v>
      </c>
      <c r="D17" s="131">
        <v>0</v>
      </c>
      <c r="E17" s="131">
        <v>0</v>
      </c>
      <c r="F17" s="131">
        <v>0</v>
      </c>
      <c r="G17" s="132">
        <f t="shared" si="0"/>
        <v>23166</v>
      </c>
      <c r="H17" s="132">
        <f t="shared" si="1"/>
        <v>257159</v>
      </c>
    </row>
    <row r="18" spans="1:8" x14ac:dyDescent="0.25">
      <c r="A18" s="129">
        <v>9</v>
      </c>
      <c r="B18" s="129" t="s">
        <v>139</v>
      </c>
      <c r="C18" s="131">
        <v>0</v>
      </c>
      <c r="D18" s="131">
        <v>8153</v>
      </c>
      <c r="E18" s="131">
        <v>0</v>
      </c>
      <c r="F18" s="131">
        <v>6490</v>
      </c>
      <c r="G18" s="132">
        <f t="shared" si="0"/>
        <v>14643</v>
      </c>
      <c r="H18" s="132">
        <f t="shared" si="1"/>
        <v>271802</v>
      </c>
    </row>
    <row r="19" spans="1:8" x14ac:dyDescent="0.25">
      <c r="A19" s="129">
        <v>10</v>
      </c>
      <c r="B19" s="129" t="s">
        <v>140</v>
      </c>
      <c r="C19" s="131">
        <v>0</v>
      </c>
      <c r="D19" s="131">
        <v>3599</v>
      </c>
      <c r="E19" s="131">
        <v>0</v>
      </c>
      <c r="F19" s="131">
        <v>0</v>
      </c>
      <c r="G19" s="132">
        <f t="shared" si="0"/>
        <v>3599</v>
      </c>
      <c r="H19" s="132">
        <f t="shared" si="1"/>
        <v>275401</v>
      </c>
    </row>
    <row r="20" spans="1:8" x14ac:dyDescent="0.25">
      <c r="A20" s="129">
        <v>11</v>
      </c>
      <c r="B20" s="129" t="s">
        <v>141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275401</v>
      </c>
    </row>
    <row r="21" spans="1:8" x14ac:dyDescent="0.25">
      <c r="A21" s="129">
        <v>12</v>
      </c>
      <c r="B21" s="129" t="s">
        <v>143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275401</v>
      </c>
    </row>
    <row r="22" spans="1:8" x14ac:dyDescent="0.25">
      <c r="A22" s="129">
        <v>13</v>
      </c>
      <c r="B22" s="129" t="s">
        <v>146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275401</v>
      </c>
    </row>
    <row r="23" spans="1:8" x14ac:dyDescent="0.25">
      <c r="A23" s="129">
        <v>14</v>
      </c>
      <c r="B23" s="129" t="s">
        <v>150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275401</v>
      </c>
    </row>
    <row r="24" spans="1:8" x14ac:dyDescent="0.25">
      <c r="A24" s="129">
        <v>15</v>
      </c>
      <c r="B24" s="129" t="s">
        <v>151</v>
      </c>
      <c r="C24" s="131">
        <v>22821</v>
      </c>
      <c r="D24" s="131">
        <v>16985</v>
      </c>
      <c r="E24" s="131">
        <v>0</v>
      </c>
      <c r="F24" s="131">
        <v>0</v>
      </c>
      <c r="G24" s="132">
        <f t="shared" si="0"/>
        <v>39806</v>
      </c>
      <c r="H24" s="132">
        <f t="shared" si="1"/>
        <v>315207</v>
      </c>
    </row>
    <row r="25" spans="1:8" x14ac:dyDescent="0.25">
      <c r="A25" s="129">
        <v>16</v>
      </c>
      <c r="B25" s="129" t="s">
        <v>157</v>
      </c>
      <c r="C25" s="131">
        <v>18060</v>
      </c>
      <c r="D25" s="131">
        <v>14850</v>
      </c>
      <c r="E25" s="131">
        <v>0</v>
      </c>
      <c r="F25" s="131">
        <v>14821</v>
      </c>
      <c r="G25" s="132">
        <f t="shared" si="0"/>
        <v>47731</v>
      </c>
      <c r="H25" s="132">
        <f t="shared" si="1"/>
        <v>362938</v>
      </c>
    </row>
    <row r="26" spans="1:8" x14ac:dyDescent="0.25">
      <c r="A26" s="129">
        <v>17</v>
      </c>
      <c r="B26" s="129" t="s">
        <v>158</v>
      </c>
      <c r="C26" s="131">
        <v>60484</v>
      </c>
      <c r="D26" s="131">
        <v>34868</v>
      </c>
      <c r="E26" s="131">
        <v>0</v>
      </c>
      <c r="F26" s="131">
        <v>0</v>
      </c>
      <c r="G26" s="132">
        <f t="shared" si="0"/>
        <v>95352</v>
      </c>
      <c r="H26" s="132">
        <f t="shared" si="1"/>
        <v>458290</v>
      </c>
    </row>
    <row r="27" spans="1:8" x14ac:dyDescent="0.25">
      <c r="A27" s="129">
        <v>18</v>
      </c>
      <c r="B27" s="129" t="s">
        <v>159</v>
      </c>
      <c r="C27" s="131">
        <v>18892</v>
      </c>
      <c r="D27" s="131">
        <v>22736</v>
      </c>
      <c r="E27" s="131">
        <v>0</v>
      </c>
      <c r="F27" s="131">
        <v>15057</v>
      </c>
      <c r="G27" s="132">
        <f t="shared" si="0"/>
        <v>56685</v>
      </c>
      <c r="H27" s="132">
        <f t="shared" si="1"/>
        <v>514975</v>
      </c>
    </row>
    <row r="28" spans="1:8" x14ac:dyDescent="0.25">
      <c r="A28" s="129">
        <v>19</v>
      </c>
      <c r="B28" s="129" t="s">
        <v>170</v>
      </c>
      <c r="C28" s="131">
        <v>40656</v>
      </c>
      <c r="D28" s="131">
        <v>0</v>
      </c>
      <c r="E28" s="131">
        <v>0</v>
      </c>
      <c r="F28" s="131">
        <v>27402</v>
      </c>
      <c r="G28" s="132">
        <f t="shared" si="0"/>
        <v>68058</v>
      </c>
      <c r="H28" s="132">
        <f t="shared" si="1"/>
        <v>583033</v>
      </c>
    </row>
    <row r="29" spans="1:8" x14ac:dyDescent="0.25">
      <c r="A29" s="129">
        <v>20</v>
      </c>
      <c r="B29" s="129" t="s">
        <v>171</v>
      </c>
      <c r="C29" s="131">
        <v>13362</v>
      </c>
      <c r="D29" s="131">
        <v>46141</v>
      </c>
      <c r="E29" s="131">
        <v>0</v>
      </c>
      <c r="F29" s="131">
        <v>0</v>
      </c>
      <c r="G29" s="132">
        <f t="shared" si="0"/>
        <v>59503</v>
      </c>
      <c r="H29" s="132">
        <f t="shared" si="1"/>
        <v>642536</v>
      </c>
    </row>
    <row r="30" spans="1:8" x14ac:dyDescent="0.25">
      <c r="A30" s="129">
        <v>21</v>
      </c>
      <c r="B30" s="129" t="s">
        <v>172</v>
      </c>
      <c r="C30" s="131">
        <v>0</v>
      </c>
      <c r="D30" s="131">
        <v>60114</v>
      </c>
      <c r="E30" s="131">
        <v>0</v>
      </c>
      <c r="F30" s="131">
        <v>0</v>
      </c>
      <c r="G30" s="132">
        <f t="shared" si="0"/>
        <v>60114</v>
      </c>
      <c r="H30" s="132">
        <f t="shared" si="1"/>
        <v>702650</v>
      </c>
    </row>
    <row r="31" spans="1:8" x14ac:dyDescent="0.25">
      <c r="A31" s="129">
        <v>22</v>
      </c>
      <c r="B31" s="129" t="s">
        <v>173</v>
      </c>
      <c r="C31" s="131">
        <v>2706</v>
      </c>
      <c r="D31" s="131">
        <v>11845</v>
      </c>
      <c r="E31" s="131">
        <v>11031</v>
      </c>
      <c r="F31" s="131">
        <v>0</v>
      </c>
      <c r="G31" s="132">
        <f t="shared" si="0"/>
        <v>25582</v>
      </c>
      <c r="H31" s="132">
        <f t="shared" si="1"/>
        <v>728232</v>
      </c>
    </row>
    <row r="32" spans="1:8" x14ac:dyDescent="0.25">
      <c r="A32" s="129">
        <v>23</v>
      </c>
      <c r="B32" s="129" t="s">
        <v>174</v>
      </c>
      <c r="C32" s="131">
        <v>20852</v>
      </c>
      <c r="D32" s="131">
        <v>0</v>
      </c>
      <c r="E32" s="131">
        <v>0</v>
      </c>
      <c r="F32" s="131">
        <v>2260</v>
      </c>
      <c r="G32" s="132">
        <f t="shared" si="0"/>
        <v>23112</v>
      </c>
      <c r="H32" s="132">
        <f t="shared" si="1"/>
        <v>751344</v>
      </c>
    </row>
    <row r="33" spans="1:8" x14ac:dyDescent="0.25">
      <c r="A33" s="129">
        <v>24</v>
      </c>
      <c r="B33" s="129" t="s">
        <v>175</v>
      </c>
      <c r="C33" s="131">
        <v>30974</v>
      </c>
      <c r="D33" s="131">
        <v>10657</v>
      </c>
      <c r="E33" s="131">
        <v>0</v>
      </c>
      <c r="F33" s="131">
        <v>1505</v>
      </c>
      <c r="G33" s="132">
        <f t="shared" si="0"/>
        <v>43136</v>
      </c>
      <c r="H33" s="132">
        <f t="shared" si="1"/>
        <v>794480</v>
      </c>
    </row>
    <row r="34" spans="1:8" x14ac:dyDescent="0.25">
      <c r="A34" s="129">
        <v>25</v>
      </c>
      <c r="B34" s="129" t="s">
        <v>176</v>
      </c>
      <c r="C34" s="131">
        <v>13435</v>
      </c>
      <c r="D34" s="131">
        <v>43304</v>
      </c>
      <c r="E34" s="131">
        <v>0</v>
      </c>
      <c r="F34" s="131">
        <v>0</v>
      </c>
      <c r="G34" s="132">
        <f t="shared" si="0"/>
        <v>56739</v>
      </c>
      <c r="H34" s="132">
        <f t="shared" si="1"/>
        <v>851219</v>
      </c>
    </row>
    <row r="35" spans="1:8" x14ac:dyDescent="0.25">
      <c r="A35" s="129">
        <v>26</v>
      </c>
      <c r="B35" s="129" t="s">
        <v>178</v>
      </c>
      <c r="C35" s="131">
        <v>18381</v>
      </c>
      <c r="D35" s="131">
        <v>27913</v>
      </c>
      <c r="E35" s="131">
        <v>0</v>
      </c>
      <c r="F35" s="131">
        <v>29300</v>
      </c>
      <c r="G35" s="132">
        <f t="shared" si="0"/>
        <v>75594</v>
      </c>
      <c r="H35" s="132">
        <f t="shared" si="1"/>
        <v>926813</v>
      </c>
    </row>
    <row r="36" spans="1:8" x14ac:dyDescent="0.25">
      <c r="A36" s="129">
        <v>27</v>
      </c>
      <c r="B36" s="129" t="s">
        <v>179</v>
      </c>
      <c r="C36" s="131">
        <v>0</v>
      </c>
      <c r="D36" s="131">
        <v>12570</v>
      </c>
      <c r="E36" s="131">
        <v>0</v>
      </c>
      <c r="F36" s="131">
        <v>0</v>
      </c>
      <c r="G36" s="132">
        <f t="shared" si="0"/>
        <v>12570</v>
      </c>
      <c r="H36" s="132">
        <f t="shared" si="1"/>
        <v>939383</v>
      </c>
    </row>
    <row r="37" spans="1:8" x14ac:dyDescent="0.25">
      <c r="A37" s="129">
        <v>28</v>
      </c>
      <c r="B37" s="129" t="s">
        <v>180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939383</v>
      </c>
    </row>
    <row r="38" spans="1:8" x14ac:dyDescent="0.25">
      <c r="A38" s="129">
        <v>29</v>
      </c>
      <c r="B38" s="129" t="s">
        <v>181</v>
      </c>
      <c r="C38" s="131">
        <v>15222</v>
      </c>
      <c r="D38" s="131">
        <v>11597</v>
      </c>
      <c r="E38" s="131">
        <v>0</v>
      </c>
      <c r="F38" s="131">
        <v>0</v>
      </c>
      <c r="G38" s="132">
        <f t="shared" si="0"/>
        <v>26819</v>
      </c>
      <c r="H38" s="132">
        <f t="shared" si="1"/>
        <v>966202</v>
      </c>
    </row>
    <row r="39" spans="1:8" x14ac:dyDescent="0.25">
      <c r="A39" s="129">
        <v>30</v>
      </c>
      <c r="B39" s="129" t="s">
        <v>183</v>
      </c>
      <c r="C39" s="131">
        <v>22149</v>
      </c>
      <c r="D39" s="131">
        <v>0</v>
      </c>
      <c r="E39" s="131">
        <v>0</v>
      </c>
      <c r="F39" s="131">
        <v>0</v>
      </c>
      <c r="G39" s="132">
        <f t="shared" si="0"/>
        <v>22149</v>
      </c>
      <c r="H39" s="132">
        <f t="shared" si="1"/>
        <v>988351</v>
      </c>
    </row>
    <row r="40" spans="1:8" x14ac:dyDescent="0.25">
      <c r="A40" s="129">
        <v>31</v>
      </c>
      <c r="B40" s="129" t="s">
        <v>185</v>
      </c>
      <c r="C40" s="131">
        <v>32938</v>
      </c>
      <c r="D40" s="131">
        <v>18638</v>
      </c>
      <c r="E40" s="131">
        <v>0</v>
      </c>
      <c r="F40" s="131">
        <v>0</v>
      </c>
      <c r="G40" s="132">
        <f t="shared" si="0"/>
        <v>51576</v>
      </c>
      <c r="H40" s="132">
        <f t="shared" si="1"/>
        <v>1039927</v>
      </c>
    </row>
    <row r="41" spans="1:8" x14ac:dyDescent="0.25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1039927</v>
      </c>
    </row>
    <row r="42" spans="1:8" x14ac:dyDescent="0.25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1039927</v>
      </c>
    </row>
    <row r="43" spans="1:8" x14ac:dyDescent="0.25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1039927</v>
      </c>
    </row>
    <row r="44" spans="1:8" x14ac:dyDescent="0.25">
      <c r="A44" s="129">
        <v>35</v>
      </c>
      <c r="B44" s="129" t="s">
        <v>189</v>
      </c>
      <c r="C44" s="131">
        <v>42072</v>
      </c>
      <c r="D44" s="131">
        <v>32352</v>
      </c>
      <c r="E44" s="131">
        <v>0</v>
      </c>
      <c r="F44" s="131">
        <v>8552</v>
      </c>
      <c r="G44" s="132">
        <f t="shared" si="0"/>
        <v>82976</v>
      </c>
      <c r="H44" s="132">
        <f t="shared" si="1"/>
        <v>1122903</v>
      </c>
    </row>
    <row r="45" spans="1:8" x14ac:dyDescent="0.25">
      <c r="A45" s="129">
        <v>36</v>
      </c>
      <c r="B45" s="129" t="s">
        <v>191</v>
      </c>
      <c r="C45" s="131">
        <v>0</v>
      </c>
      <c r="D45" s="131">
        <v>0</v>
      </c>
      <c r="E45" s="131">
        <v>0</v>
      </c>
      <c r="F45" s="131">
        <v>28901</v>
      </c>
      <c r="G45" s="132">
        <f t="shared" si="0"/>
        <v>28901</v>
      </c>
      <c r="H45" s="132">
        <f t="shared" si="1"/>
        <v>1151804</v>
      </c>
    </row>
    <row r="46" spans="1:8" x14ac:dyDescent="0.25">
      <c r="A46" s="129">
        <v>37</v>
      </c>
      <c r="B46" s="129" t="s">
        <v>192</v>
      </c>
      <c r="C46" s="131">
        <v>0</v>
      </c>
      <c r="D46" s="131">
        <v>0</v>
      </c>
      <c r="E46" s="131">
        <v>0</v>
      </c>
      <c r="F46" s="131">
        <v>2759</v>
      </c>
      <c r="G46" s="132">
        <f t="shared" si="0"/>
        <v>2759</v>
      </c>
      <c r="H46" s="132">
        <f t="shared" si="1"/>
        <v>1154563</v>
      </c>
    </row>
    <row r="47" spans="1:8" x14ac:dyDescent="0.25">
      <c r="A47" s="129">
        <v>38</v>
      </c>
      <c r="B47" s="129" t="s">
        <v>193</v>
      </c>
      <c r="C47" s="131">
        <v>21858</v>
      </c>
      <c r="D47" s="131">
        <v>0</v>
      </c>
      <c r="E47" s="131">
        <v>0</v>
      </c>
      <c r="F47" s="131">
        <v>0</v>
      </c>
      <c r="G47" s="132">
        <f t="shared" si="0"/>
        <v>21858</v>
      </c>
      <c r="H47" s="132">
        <f t="shared" si="1"/>
        <v>1176421</v>
      </c>
    </row>
    <row r="48" spans="1:8" x14ac:dyDescent="0.25">
      <c r="A48" s="129">
        <v>39</v>
      </c>
      <c r="B48" s="129" t="s">
        <v>195</v>
      </c>
      <c r="C48" s="131">
        <v>11131</v>
      </c>
      <c r="D48" s="131">
        <v>19319</v>
      </c>
      <c r="E48" s="131">
        <v>0</v>
      </c>
      <c r="F48" s="131">
        <v>0</v>
      </c>
      <c r="G48" s="132">
        <f t="shared" si="0"/>
        <v>30450</v>
      </c>
      <c r="H48" s="132">
        <f t="shared" si="1"/>
        <v>1206871</v>
      </c>
    </row>
    <row r="49" spans="1:8" x14ac:dyDescent="0.25">
      <c r="A49" s="129">
        <v>40</v>
      </c>
      <c r="B49" s="129" t="s">
        <v>198</v>
      </c>
      <c r="C49" s="131">
        <v>33351</v>
      </c>
      <c r="D49" s="131">
        <v>35395</v>
      </c>
      <c r="E49" s="131">
        <v>0</v>
      </c>
      <c r="F49" s="131">
        <v>0</v>
      </c>
      <c r="G49" s="132">
        <f t="shared" si="0"/>
        <v>68746</v>
      </c>
      <c r="H49" s="132">
        <f t="shared" si="1"/>
        <v>1275617</v>
      </c>
    </row>
    <row r="50" spans="1:8" x14ac:dyDescent="0.25">
      <c r="A50" s="129">
        <v>41</v>
      </c>
      <c r="B50" s="129" t="s">
        <v>201</v>
      </c>
      <c r="C50" s="131">
        <v>0</v>
      </c>
      <c r="D50" s="131">
        <v>11335</v>
      </c>
      <c r="E50" s="131">
        <v>0</v>
      </c>
      <c r="F50" s="131">
        <v>0</v>
      </c>
      <c r="G50" s="132">
        <f t="shared" si="0"/>
        <v>11335</v>
      </c>
      <c r="H50" s="132">
        <f t="shared" si="1"/>
        <v>1286952</v>
      </c>
    </row>
    <row r="51" spans="1:8" x14ac:dyDescent="0.25">
      <c r="A51" s="129">
        <v>42</v>
      </c>
      <c r="B51" s="129" t="s">
        <v>202</v>
      </c>
      <c r="C51" s="131">
        <v>10904</v>
      </c>
      <c r="D51" s="131">
        <v>1289</v>
      </c>
      <c r="E51" s="131">
        <v>0</v>
      </c>
      <c r="F51" s="131">
        <v>0</v>
      </c>
      <c r="G51" s="132">
        <f t="shared" si="0"/>
        <v>12193</v>
      </c>
      <c r="H51" s="132">
        <f t="shared" si="1"/>
        <v>1299145</v>
      </c>
    </row>
    <row r="52" spans="1:8" x14ac:dyDescent="0.25">
      <c r="A52" s="129">
        <v>43</v>
      </c>
      <c r="B52" s="129" t="s">
        <v>204</v>
      </c>
      <c r="C52" s="131">
        <v>4004</v>
      </c>
      <c r="D52" s="131">
        <v>0</v>
      </c>
      <c r="E52" s="131">
        <v>0</v>
      </c>
      <c r="F52" s="131">
        <v>13619</v>
      </c>
      <c r="G52" s="132">
        <f t="shared" si="0"/>
        <v>17623</v>
      </c>
      <c r="H52" s="132">
        <f t="shared" si="1"/>
        <v>1316768</v>
      </c>
    </row>
    <row r="53" spans="1:8" x14ac:dyDescent="0.25">
      <c r="A53" s="129">
        <v>44</v>
      </c>
      <c r="B53" s="129" t="s">
        <v>206</v>
      </c>
      <c r="C53" s="131">
        <v>18143</v>
      </c>
      <c r="D53" s="131">
        <v>35337</v>
      </c>
      <c r="E53" s="131">
        <v>0</v>
      </c>
      <c r="F53" s="131">
        <v>18398</v>
      </c>
      <c r="G53" s="132">
        <f t="shared" si="0"/>
        <v>71878</v>
      </c>
      <c r="H53" s="132">
        <f t="shared" si="1"/>
        <v>1388646</v>
      </c>
    </row>
    <row r="54" spans="1:8" x14ac:dyDescent="0.25">
      <c r="A54" s="129">
        <v>45</v>
      </c>
      <c r="B54" s="129" t="s">
        <v>207</v>
      </c>
      <c r="C54" s="131">
        <v>67828</v>
      </c>
      <c r="D54" s="131">
        <v>49449</v>
      </c>
      <c r="E54" s="131">
        <v>0</v>
      </c>
      <c r="F54" s="131">
        <v>0</v>
      </c>
      <c r="G54" s="132">
        <f t="shared" si="0"/>
        <v>117277</v>
      </c>
      <c r="H54" s="132">
        <f t="shared" si="1"/>
        <v>1505923</v>
      </c>
    </row>
    <row r="55" spans="1:8" x14ac:dyDescent="0.25">
      <c r="A55" s="129">
        <v>46</v>
      </c>
      <c r="B55" s="129" t="s">
        <v>208</v>
      </c>
      <c r="C55" s="131">
        <v>30877</v>
      </c>
      <c r="D55" s="131">
        <v>37467</v>
      </c>
      <c r="E55" s="131">
        <v>0</v>
      </c>
      <c r="F55" s="131">
        <v>0</v>
      </c>
      <c r="G55" s="132">
        <f t="shared" si="0"/>
        <v>68344</v>
      </c>
      <c r="H55" s="132">
        <f t="shared" si="1"/>
        <v>1574267</v>
      </c>
    </row>
    <row r="56" spans="1:8" x14ac:dyDescent="0.25">
      <c r="A56" s="129">
        <v>47</v>
      </c>
      <c r="B56" s="129" t="s">
        <v>209</v>
      </c>
      <c r="C56" s="131">
        <v>1430</v>
      </c>
      <c r="D56" s="131">
        <v>0</v>
      </c>
      <c r="E56" s="131">
        <v>0</v>
      </c>
      <c r="F56" s="131">
        <v>0</v>
      </c>
      <c r="G56" s="132">
        <f t="shared" si="0"/>
        <v>1430</v>
      </c>
      <c r="H56" s="132">
        <f t="shared" si="1"/>
        <v>1575697</v>
      </c>
    </row>
    <row r="57" spans="1:8" x14ac:dyDescent="0.25">
      <c r="A57" s="129">
        <v>48</v>
      </c>
      <c r="B57" s="129" t="s">
        <v>211</v>
      </c>
      <c r="C57" s="131">
        <v>0</v>
      </c>
      <c r="D57" s="131">
        <v>0</v>
      </c>
      <c r="E57" s="131">
        <v>0</v>
      </c>
      <c r="F57" s="131">
        <v>28507</v>
      </c>
      <c r="G57" s="132">
        <f t="shared" si="0"/>
        <v>28507</v>
      </c>
      <c r="H57" s="132">
        <f t="shared" si="1"/>
        <v>1604204</v>
      </c>
    </row>
    <row r="58" spans="1:8" x14ac:dyDescent="0.25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1604204</v>
      </c>
    </row>
    <row r="59" spans="1:8" x14ac:dyDescent="0.25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1604204</v>
      </c>
    </row>
    <row r="60" spans="1:8" x14ac:dyDescent="0.25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1604204</v>
      </c>
    </row>
    <row r="61" spans="1:8" x14ac:dyDescent="0.25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1604204</v>
      </c>
    </row>
    <row r="62" spans="1:8" x14ac:dyDescent="0.25">
      <c r="A62" s="129" t="s">
        <v>116</v>
      </c>
      <c r="B62" s="129" t="s">
        <v>117</v>
      </c>
      <c r="C62" s="132">
        <f>SUM(C10:C61)</f>
        <v>726150</v>
      </c>
      <c r="D62" s="132">
        <f>SUM(D10:D61)</f>
        <v>638110</v>
      </c>
      <c r="E62" s="132">
        <f>SUM(E10:E61)</f>
        <v>11031</v>
      </c>
      <c r="F62" s="132">
        <f>SUM(F10:F61)</f>
        <v>228913</v>
      </c>
      <c r="G62" s="132">
        <f>SUM(G10:G61)</f>
        <v>1604204</v>
      </c>
      <c r="H62" s="132"/>
    </row>
    <row r="64" spans="1:8" ht="14.4" x14ac:dyDescent="0.3">
      <c r="A64" s="127" t="s">
        <v>221</v>
      </c>
      <c r="B64" s="127"/>
    </row>
    <row r="65" spans="1:2" ht="14.4" x14ac:dyDescent="0.3">
      <c r="A65" s="127" t="s">
        <v>222</v>
      </c>
      <c r="B65" s="127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zoomScale="75" workbookViewId="0">
      <selection activeCell="B17" sqref="B17"/>
    </sheetView>
  </sheetViews>
  <sheetFormatPr defaultColWidth="9.109375" defaultRowHeight="15" x14ac:dyDescent="0.25"/>
  <cols>
    <col min="1" max="1" width="33.6640625" style="68" customWidth="1"/>
    <col min="2" max="2" width="14.88671875" style="68" customWidth="1"/>
    <col min="3" max="3" width="9.109375" style="68"/>
    <col min="4" max="4" width="24.109375" style="68" customWidth="1"/>
    <col min="5" max="5" width="13.88671875" style="68" customWidth="1"/>
    <col min="6" max="6" width="10.33203125" style="68" bestFit="1" customWidth="1"/>
    <col min="7" max="16384" width="9.109375" style="68"/>
  </cols>
  <sheetData>
    <row r="1" spans="1:22" ht="15.6" x14ac:dyDescent="0.3">
      <c r="A1" s="67" t="s">
        <v>155</v>
      </c>
      <c r="V1" s="68">
        <v>4</v>
      </c>
    </row>
    <row r="2" spans="1:22" ht="15.6" x14ac:dyDescent="0.3">
      <c r="A2" s="67" t="s">
        <v>0</v>
      </c>
    </row>
    <row r="4" spans="1:22" x14ac:dyDescent="0.25">
      <c r="A4" s="121" t="s">
        <v>265</v>
      </c>
      <c r="B4" s="97">
        <f>'Weekliks-Weekly'!B26</f>
        <v>45534</v>
      </c>
    </row>
    <row r="5" spans="1:22" x14ac:dyDescent="0.25">
      <c r="A5" s="121" t="s">
        <v>257</v>
      </c>
      <c r="B5" s="69">
        <f>B4</f>
        <v>45534</v>
      </c>
    </row>
    <row r="6" spans="1:22" ht="15.6" x14ac:dyDescent="0.3">
      <c r="D6" s="67"/>
    </row>
    <row r="7" spans="1:22" ht="15.6" x14ac:dyDescent="0.3">
      <c r="A7" s="67" t="s">
        <v>1</v>
      </c>
      <c r="B7" s="67" t="s">
        <v>2</v>
      </c>
      <c r="E7" s="70"/>
    </row>
    <row r="8" spans="1:22" ht="15.6" x14ac:dyDescent="0.3">
      <c r="A8" s="74" t="s">
        <v>70</v>
      </c>
      <c r="B8" s="94">
        <v>0</v>
      </c>
      <c r="D8" s="72" t="s">
        <v>63</v>
      </c>
      <c r="E8" s="73">
        <f>B13/(52-'Export destin -Uitvoer bestem.'!$G$6)</f>
        <v>0</v>
      </c>
      <c r="F8" s="71"/>
    </row>
    <row r="9" spans="1:22" ht="15.6" x14ac:dyDescent="0.3">
      <c r="A9" s="74" t="s">
        <v>71</v>
      </c>
      <c r="B9" s="94">
        <f>0</f>
        <v>0</v>
      </c>
      <c r="D9" s="74" t="s">
        <v>64</v>
      </c>
      <c r="E9" s="75">
        <f>'Export destin -Uitvoer bestem.'!$G$6</f>
        <v>35</v>
      </c>
      <c r="F9" s="71"/>
    </row>
    <row r="10" spans="1:22" ht="15.6" x14ac:dyDescent="0.3">
      <c r="A10" s="74" t="s">
        <v>4</v>
      </c>
      <c r="B10" s="94">
        <f>0</f>
        <v>0</v>
      </c>
      <c r="D10" s="74" t="s">
        <v>65</v>
      </c>
      <c r="E10" s="75">
        <f>(E8*E9)+B13</f>
        <v>0</v>
      </c>
      <c r="F10" s="71"/>
    </row>
    <row r="11" spans="1:22" ht="15.6" x14ac:dyDescent="0.3">
      <c r="A11" s="74" t="s">
        <v>113</v>
      </c>
      <c r="B11" s="94">
        <f>0</f>
        <v>0</v>
      </c>
      <c r="E11" s="71"/>
      <c r="F11" s="71"/>
    </row>
    <row r="12" spans="1:22" ht="15.6" x14ac:dyDescent="0.3">
      <c r="A12" s="74" t="s">
        <v>122</v>
      </c>
      <c r="B12" s="94">
        <f>0</f>
        <v>0</v>
      </c>
      <c r="E12" s="71"/>
      <c r="F12" s="71"/>
    </row>
    <row r="13" spans="1:22" ht="15.6" x14ac:dyDescent="0.3">
      <c r="A13" s="72" t="s">
        <v>5</v>
      </c>
      <c r="B13" s="80">
        <f>SUM(B8:B12)</f>
        <v>0</v>
      </c>
      <c r="F13" s="71"/>
    </row>
    <row r="14" spans="1:22" x14ac:dyDescent="0.25">
      <c r="B14" s="70"/>
      <c r="F14" s="71"/>
    </row>
    <row r="15" spans="1:22" ht="15.6" x14ac:dyDescent="0.3">
      <c r="A15" s="67" t="s">
        <v>6</v>
      </c>
      <c r="B15" s="68" t="s">
        <v>2</v>
      </c>
      <c r="F15" s="71"/>
    </row>
    <row r="16" spans="1:22" ht="15.6" x14ac:dyDescent="0.3">
      <c r="A16" s="74" t="s">
        <v>7</v>
      </c>
      <c r="B16" s="94">
        <f>10419+20547+10937+3151+7855+42848+11033+38550</f>
        <v>145340</v>
      </c>
      <c r="D16" s="72" t="s">
        <v>63</v>
      </c>
      <c r="E16" s="73">
        <f>B23/(52-'Export destin -Uitvoer bestem.'!$G$6)</f>
        <v>8549.4117647058829</v>
      </c>
      <c r="F16" s="71"/>
    </row>
    <row r="17" spans="1:12" ht="15.6" x14ac:dyDescent="0.3">
      <c r="A17" s="74" t="s">
        <v>79</v>
      </c>
      <c r="B17" s="94">
        <v>0</v>
      </c>
      <c r="D17" s="74" t="s">
        <v>64</v>
      </c>
      <c r="E17" s="75">
        <f>'Export destin -Uitvoer bestem.'!$G$6</f>
        <v>35</v>
      </c>
      <c r="F17" s="71"/>
    </row>
    <row r="18" spans="1:12" ht="15.6" x14ac:dyDescent="0.3">
      <c r="A18" s="74" t="s">
        <v>93</v>
      </c>
      <c r="B18" s="94">
        <f>0</f>
        <v>0</v>
      </c>
      <c r="D18" s="74" t="s">
        <v>65</v>
      </c>
      <c r="E18" s="75">
        <f>(E16*E17)+B23</f>
        <v>444569.4117647059</v>
      </c>
      <c r="F18" s="71"/>
      <c r="L18" s="128"/>
    </row>
    <row r="19" spans="1:12" ht="15.6" x14ac:dyDescent="0.3">
      <c r="A19" s="74" t="s">
        <v>120</v>
      </c>
      <c r="B19" s="94">
        <f>0</f>
        <v>0</v>
      </c>
      <c r="E19" s="71"/>
      <c r="F19" s="71"/>
      <c r="L19" s="128"/>
    </row>
    <row r="20" spans="1:12" ht="15.6" x14ac:dyDescent="0.3">
      <c r="A20" s="74" t="s">
        <v>3</v>
      </c>
      <c r="B20" s="94">
        <f>0</f>
        <v>0</v>
      </c>
      <c r="E20" s="71"/>
      <c r="F20" s="71"/>
      <c r="L20" s="128"/>
    </row>
    <row r="21" spans="1:12" ht="15.6" x14ac:dyDescent="0.3">
      <c r="A21" s="74" t="s">
        <v>94</v>
      </c>
      <c r="B21" s="94">
        <f>0</f>
        <v>0</v>
      </c>
      <c r="E21" s="71"/>
      <c r="F21" s="71"/>
    </row>
    <row r="22" spans="1:12" ht="15.6" x14ac:dyDescent="0.3">
      <c r="A22" s="74" t="s">
        <v>66</v>
      </c>
      <c r="B22" s="94">
        <f>0</f>
        <v>0</v>
      </c>
      <c r="E22" s="71"/>
      <c r="F22" s="71"/>
    </row>
    <row r="23" spans="1:12" ht="15.6" x14ac:dyDescent="0.3">
      <c r="A23" s="72" t="s">
        <v>5</v>
      </c>
      <c r="B23" s="80">
        <f>SUM(B16:B22)</f>
        <v>145340</v>
      </c>
      <c r="E23" s="71"/>
      <c r="F23" s="71"/>
    </row>
    <row r="24" spans="1:12" x14ac:dyDescent="0.25">
      <c r="B24" s="70"/>
      <c r="E24" s="71"/>
      <c r="F24" s="71"/>
    </row>
    <row r="25" spans="1:12" ht="15.6" x14ac:dyDescent="0.3">
      <c r="A25" s="72" t="s">
        <v>8</v>
      </c>
      <c r="B25" s="80">
        <f>B13+B23</f>
        <v>145340</v>
      </c>
      <c r="D25" s="70"/>
      <c r="E25" s="71"/>
      <c r="F25" s="71"/>
    </row>
    <row r="26" spans="1:12" x14ac:dyDescent="0.25">
      <c r="E26" s="71"/>
      <c r="F26" s="71"/>
    </row>
    <row r="27" spans="1:12" x14ac:dyDescent="0.25">
      <c r="E27" s="71"/>
      <c r="F27" s="71"/>
    </row>
    <row r="28" spans="1:12" x14ac:dyDescent="0.25">
      <c r="E28" s="71"/>
      <c r="F28" s="71"/>
    </row>
    <row r="29" spans="1:12" x14ac:dyDescent="0.25">
      <c r="E29" s="71"/>
      <c r="F29" s="71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3AEE-C9FC-4F28-8487-EA21023B662A}">
  <dimension ref="A1:X4707"/>
  <sheetViews>
    <sheetView topLeftCell="A6" zoomScale="98" zoomScaleNormal="98" workbookViewId="0">
      <selection activeCell="AC58" sqref="AC58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74" customWidth="1"/>
    <col min="12" max="12" width="11.44140625" style="186" customWidth="1"/>
    <col min="13" max="13" width="10.6640625" style="174" customWidth="1"/>
    <col min="14" max="14" width="11.5546875" style="3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263</v>
      </c>
    </row>
    <row r="2" spans="1:23" ht="15.6" x14ac:dyDescent="0.3">
      <c r="C2" s="78" t="s">
        <v>264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2" t="s">
        <v>235</v>
      </c>
      <c r="L4" s="223"/>
      <c r="M4" s="224" t="s">
        <v>235</v>
      </c>
      <c r="N4" s="225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2" t="s">
        <v>236</v>
      </c>
      <c r="L5" s="223"/>
      <c r="M5" s="224" t="s">
        <v>236</v>
      </c>
      <c r="N5" s="225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192" t="s">
        <v>29</v>
      </c>
      <c r="L6" s="189" t="s">
        <v>30</v>
      </c>
      <c r="M6" s="175" t="s">
        <v>29</v>
      </c>
      <c r="N6" s="8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193"/>
      <c r="L7" s="190"/>
      <c r="M7" s="175" t="s">
        <v>34</v>
      </c>
      <c r="N7" s="89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194" t="s">
        <v>37</v>
      </c>
      <c r="L8" s="191" t="s">
        <v>37</v>
      </c>
      <c r="M8" s="176" t="s">
        <v>37</v>
      </c>
      <c r="N8" s="9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45051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195">
        <v>10.148</v>
      </c>
      <c r="L9" s="187">
        <v>36.905000000000001</v>
      </c>
      <c r="M9" s="178">
        <f>K9</f>
        <v>10.148</v>
      </c>
      <c r="N9" s="177">
        <f>L9</f>
        <v>36.905000000000001</v>
      </c>
      <c r="O9" s="181"/>
      <c r="P9" s="16"/>
      <c r="Q9" s="16"/>
      <c r="R9" s="16"/>
      <c r="S9" s="16">
        <f t="shared" ref="S9:S27" si="2">C9+D9</f>
        <v>0</v>
      </c>
      <c r="T9" s="16">
        <f>K9+L9</f>
        <v>47.052999999999997</v>
      </c>
      <c r="U9" s="16">
        <f t="shared" ref="U9:U60" si="3">E9+F9</f>
        <v>0</v>
      </c>
      <c r="V9" s="16">
        <f>M9+N9</f>
        <v>47.052999999999997</v>
      </c>
    </row>
    <row r="10" spans="1:23" ht="14.4" x14ac:dyDescent="0.3">
      <c r="A10" s="3">
        <f>A9+1</f>
        <v>2</v>
      </c>
      <c r="B10" s="113">
        <f t="shared" ref="B10:B60" si="4">B9+7</f>
        <v>45058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195">
        <v>17.588999999999999</v>
      </c>
      <c r="L10" s="187">
        <v>33.787999999999997</v>
      </c>
      <c r="M10" s="179">
        <f t="shared" ref="M10:N25" si="5">M9+K10</f>
        <v>27.736999999999998</v>
      </c>
      <c r="N10" s="177">
        <f t="shared" si="5"/>
        <v>70.692999999999998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51.376999999999995</v>
      </c>
      <c r="U10" s="17">
        <f t="shared" si="3"/>
        <v>0</v>
      </c>
      <c r="V10" s="17">
        <f t="shared" ref="V10:V60" si="7">M10+N10</f>
        <v>98.429999999999993</v>
      </c>
    </row>
    <row r="11" spans="1:23" ht="14.4" x14ac:dyDescent="0.3">
      <c r="A11" s="3">
        <f t="shared" ref="A11:A61" si="8">A10+1</f>
        <v>3</v>
      </c>
      <c r="B11" s="113">
        <f t="shared" si="4"/>
        <v>45065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195">
        <v>10.32</v>
      </c>
      <c r="L11" s="187">
        <v>40.933</v>
      </c>
      <c r="M11" s="179">
        <f t="shared" si="5"/>
        <v>38.057000000000002</v>
      </c>
      <c r="N11" s="177">
        <f t="shared" si="5"/>
        <v>111.626</v>
      </c>
      <c r="O11" s="45"/>
      <c r="P11" s="17"/>
      <c r="Q11" s="17"/>
      <c r="R11" s="17"/>
      <c r="S11" s="17">
        <f t="shared" si="2"/>
        <v>0</v>
      </c>
      <c r="T11" s="17">
        <f t="shared" si="6"/>
        <v>51.253</v>
      </c>
      <c r="U11" s="17">
        <f t="shared" si="3"/>
        <v>0</v>
      </c>
      <c r="V11" s="17">
        <f t="shared" si="7"/>
        <v>149.68299999999999</v>
      </c>
    </row>
    <row r="12" spans="1:23" ht="14.4" x14ac:dyDescent="0.3">
      <c r="A12" s="3">
        <f t="shared" si="8"/>
        <v>4</v>
      </c>
      <c r="B12" s="113">
        <f t="shared" si="4"/>
        <v>45072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195">
        <v>12.122999999999999</v>
      </c>
      <c r="L12" s="187">
        <v>98.013999999999996</v>
      </c>
      <c r="M12" s="179">
        <f t="shared" si="5"/>
        <v>50.18</v>
      </c>
      <c r="N12" s="177">
        <f t="shared" si="5"/>
        <v>209.64</v>
      </c>
      <c r="O12" s="45"/>
      <c r="P12" s="17"/>
      <c r="Q12" s="17"/>
      <c r="R12" s="17"/>
      <c r="S12" s="17">
        <f t="shared" si="2"/>
        <v>0</v>
      </c>
      <c r="T12" s="17">
        <f t="shared" si="6"/>
        <v>110.137</v>
      </c>
      <c r="U12" s="17">
        <f t="shared" si="3"/>
        <v>0</v>
      </c>
      <c r="V12" s="17">
        <f t="shared" si="7"/>
        <v>259.82</v>
      </c>
    </row>
    <row r="13" spans="1:23" ht="14.4" x14ac:dyDescent="0.3">
      <c r="A13" s="3">
        <f t="shared" si="8"/>
        <v>5</v>
      </c>
      <c r="B13" s="113">
        <f t="shared" si="4"/>
        <v>45079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195">
        <v>11.157999999999999</v>
      </c>
      <c r="L13" s="187">
        <v>34.095999999999997</v>
      </c>
      <c r="M13" s="179">
        <f t="shared" si="5"/>
        <v>61.338000000000001</v>
      </c>
      <c r="N13" s="177">
        <f t="shared" si="5"/>
        <v>243.73599999999999</v>
      </c>
      <c r="O13" s="45"/>
      <c r="P13" s="17"/>
      <c r="Q13" s="17"/>
      <c r="R13" s="17"/>
      <c r="S13" s="17">
        <f t="shared" si="2"/>
        <v>0</v>
      </c>
      <c r="T13" s="17">
        <f t="shared" si="6"/>
        <v>45.253999999999998</v>
      </c>
      <c r="U13" s="17">
        <f t="shared" si="3"/>
        <v>0</v>
      </c>
      <c r="V13" s="17">
        <f t="shared" si="7"/>
        <v>305.07400000000001</v>
      </c>
    </row>
    <row r="14" spans="1:23" ht="14.4" x14ac:dyDescent="0.3">
      <c r="A14" s="3">
        <f t="shared" si="8"/>
        <v>6</v>
      </c>
      <c r="B14" s="113">
        <f t="shared" si="4"/>
        <v>45086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195">
        <v>8.0749999999999993</v>
      </c>
      <c r="L14" s="187">
        <v>123.376</v>
      </c>
      <c r="M14" s="179">
        <f t="shared" si="5"/>
        <v>69.412999999999997</v>
      </c>
      <c r="N14" s="177">
        <f t="shared" si="5"/>
        <v>367.11199999999997</v>
      </c>
      <c r="O14" s="45"/>
      <c r="P14" s="17"/>
      <c r="Q14" s="17"/>
      <c r="R14" s="17"/>
      <c r="S14" s="17">
        <f t="shared" si="2"/>
        <v>0</v>
      </c>
      <c r="T14" s="17">
        <f t="shared" si="6"/>
        <v>131.45099999999999</v>
      </c>
      <c r="U14" s="17">
        <f t="shared" si="3"/>
        <v>0</v>
      </c>
      <c r="V14" s="17">
        <f t="shared" si="7"/>
        <v>436.52499999999998</v>
      </c>
    </row>
    <row r="15" spans="1:23" ht="14.4" x14ac:dyDescent="0.3">
      <c r="A15" s="3">
        <f t="shared" si="8"/>
        <v>7</v>
      </c>
      <c r="B15" s="113">
        <f t="shared" si="4"/>
        <v>45093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195">
        <v>7.9029999999999996</v>
      </c>
      <c r="L15" s="187">
        <v>82.921999999999997</v>
      </c>
      <c r="M15" s="179">
        <f t="shared" si="5"/>
        <v>77.316000000000003</v>
      </c>
      <c r="N15" s="177">
        <f t="shared" si="5"/>
        <v>450.03399999999999</v>
      </c>
      <c r="O15" s="45"/>
      <c r="P15" s="17"/>
      <c r="Q15" s="17"/>
      <c r="R15" s="17"/>
      <c r="S15" s="17">
        <f t="shared" si="2"/>
        <v>0</v>
      </c>
      <c r="T15" s="17">
        <f t="shared" si="6"/>
        <v>90.825000000000003</v>
      </c>
      <c r="U15" s="17">
        <f t="shared" si="3"/>
        <v>0</v>
      </c>
      <c r="V15" s="17">
        <f t="shared" si="7"/>
        <v>527.35</v>
      </c>
    </row>
    <row r="16" spans="1:23" ht="14.4" x14ac:dyDescent="0.3">
      <c r="A16" s="3">
        <f t="shared" si="8"/>
        <v>8</v>
      </c>
      <c r="B16" s="113">
        <f t="shared" si="4"/>
        <v>45100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195">
        <v>16.495999999999999</v>
      </c>
      <c r="L16" s="187">
        <v>113.95</v>
      </c>
      <c r="M16" s="179">
        <f t="shared" si="5"/>
        <v>93.811999999999998</v>
      </c>
      <c r="N16" s="177">
        <f t="shared" si="5"/>
        <v>563.98400000000004</v>
      </c>
      <c r="O16" s="45"/>
      <c r="P16" s="17"/>
      <c r="Q16" s="17"/>
      <c r="R16" s="17"/>
      <c r="S16" s="17">
        <f t="shared" si="2"/>
        <v>0</v>
      </c>
      <c r="T16" s="17">
        <f t="shared" si="6"/>
        <v>130.446</v>
      </c>
      <c r="U16" s="17">
        <f t="shared" si="3"/>
        <v>0</v>
      </c>
      <c r="V16" s="17">
        <f t="shared" si="7"/>
        <v>657.79600000000005</v>
      </c>
    </row>
    <row r="17" spans="1:24" ht="14.4" x14ac:dyDescent="0.3">
      <c r="A17" s="3">
        <f t="shared" si="8"/>
        <v>9</v>
      </c>
      <c r="B17" s="113">
        <f t="shared" si="4"/>
        <v>45107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195">
        <v>22.015000000000001</v>
      </c>
      <c r="L17" s="187">
        <v>80.28</v>
      </c>
      <c r="M17" s="179">
        <f t="shared" si="5"/>
        <v>115.827</v>
      </c>
      <c r="N17" s="177">
        <f t="shared" si="5"/>
        <v>644.26400000000001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102.295</v>
      </c>
      <c r="U17" s="17">
        <f t="shared" si="3"/>
        <v>0</v>
      </c>
      <c r="V17" s="17">
        <f t="shared" si="7"/>
        <v>760.09100000000001</v>
      </c>
    </row>
    <row r="18" spans="1:24" ht="14.4" x14ac:dyDescent="0.3">
      <c r="A18" s="3">
        <f t="shared" si="8"/>
        <v>10</v>
      </c>
      <c r="B18" s="113">
        <f t="shared" si="4"/>
        <v>45114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195">
        <v>8.202</v>
      </c>
      <c r="L18" s="187">
        <v>90.853999999999999</v>
      </c>
      <c r="M18" s="179">
        <f t="shared" si="5"/>
        <v>124.029</v>
      </c>
      <c r="N18" s="177">
        <f t="shared" si="5"/>
        <v>735.11800000000005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99.055999999999997</v>
      </c>
      <c r="U18" s="17">
        <f t="shared" si="3"/>
        <v>0</v>
      </c>
      <c r="V18" s="17">
        <f t="shared" si="7"/>
        <v>859.14700000000005</v>
      </c>
    </row>
    <row r="19" spans="1:24" ht="14.4" x14ac:dyDescent="0.3">
      <c r="A19" s="3">
        <f t="shared" si="8"/>
        <v>11</v>
      </c>
      <c r="B19" s="113">
        <f t="shared" si="4"/>
        <v>45121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195">
        <v>10.098000000000001</v>
      </c>
      <c r="L19" s="187">
        <v>118.018</v>
      </c>
      <c r="M19" s="179">
        <f t="shared" si="5"/>
        <v>134.12700000000001</v>
      </c>
      <c r="N19" s="177">
        <f t="shared" si="5"/>
        <v>853.13600000000008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128.11600000000001</v>
      </c>
      <c r="U19" s="17">
        <f t="shared" si="3"/>
        <v>0</v>
      </c>
      <c r="V19" s="17">
        <f t="shared" si="7"/>
        <v>987.26300000000015</v>
      </c>
    </row>
    <row r="20" spans="1:24" ht="14.4" x14ac:dyDescent="0.3">
      <c r="A20" s="3">
        <f t="shared" si="8"/>
        <v>12</v>
      </c>
      <c r="B20" s="113">
        <f t="shared" si="4"/>
        <v>45128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195">
        <v>22.943999999999999</v>
      </c>
      <c r="L20" s="187">
        <v>87.302000000000007</v>
      </c>
      <c r="M20" s="179">
        <f t="shared" si="5"/>
        <v>157.071</v>
      </c>
      <c r="N20" s="177">
        <f t="shared" si="5"/>
        <v>940.4380000000001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110.24600000000001</v>
      </c>
      <c r="U20" s="17">
        <f t="shared" si="3"/>
        <v>0</v>
      </c>
      <c r="V20" s="17">
        <f t="shared" si="7"/>
        <v>1097.509</v>
      </c>
    </row>
    <row r="21" spans="1:24" ht="14.4" x14ac:dyDescent="0.3">
      <c r="A21" s="3">
        <f t="shared" si="8"/>
        <v>13</v>
      </c>
      <c r="B21" s="113">
        <f t="shared" si="4"/>
        <v>45135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195">
        <v>12.144</v>
      </c>
      <c r="L21" s="187">
        <v>146.792</v>
      </c>
      <c r="M21" s="179">
        <f t="shared" si="5"/>
        <v>169.215</v>
      </c>
      <c r="N21" s="177">
        <f t="shared" si="5"/>
        <v>1087.23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158.93600000000001</v>
      </c>
      <c r="U21" s="17">
        <f t="shared" si="3"/>
        <v>0</v>
      </c>
      <c r="V21" s="17">
        <f t="shared" si="7"/>
        <v>1256.4449999999999</v>
      </c>
    </row>
    <row r="22" spans="1:24" ht="14.4" x14ac:dyDescent="0.3">
      <c r="A22" s="3">
        <f t="shared" si="8"/>
        <v>14</v>
      </c>
      <c r="B22" s="113">
        <f t="shared" si="4"/>
        <v>45142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195">
        <v>10.493</v>
      </c>
      <c r="L22" s="187">
        <v>100.539</v>
      </c>
      <c r="M22" s="179">
        <f t="shared" si="5"/>
        <v>179.708</v>
      </c>
      <c r="N22" s="177">
        <f t="shared" si="5"/>
        <v>1187.769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111.032</v>
      </c>
      <c r="U22" s="17">
        <f t="shared" si="3"/>
        <v>0</v>
      </c>
      <c r="V22" s="17">
        <f t="shared" si="7"/>
        <v>1367.4770000000001</v>
      </c>
    </row>
    <row r="23" spans="1:24" ht="14.4" x14ac:dyDescent="0.3">
      <c r="A23" s="3">
        <f t="shared" si="8"/>
        <v>15</v>
      </c>
      <c r="B23" s="113">
        <f t="shared" si="4"/>
        <v>45149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195">
        <v>14.371</v>
      </c>
      <c r="L23" s="187">
        <v>56.576000000000001</v>
      </c>
      <c r="M23" s="179">
        <f t="shared" si="5"/>
        <v>194.07900000000001</v>
      </c>
      <c r="N23" s="177">
        <f t="shared" si="5"/>
        <v>1244.345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70.947000000000003</v>
      </c>
      <c r="U23" s="17">
        <f t="shared" si="3"/>
        <v>0</v>
      </c>
      <c r="V23" s="17">
        <f t="shared" si="7"/>
        <v>1438.424</v>
      </c>
    </row>
    <row r="24" spans="1:24" ht="14.4" x14ac:dyDescent="0.3">
      <c r="A24" s="3">
        <f t="shared" si="8"/>
        <v>16</v>
      </c>
      <c r="B24" s="113">
        <f t="shared" si="4"/>
        <v>45156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195">
        <v>26.166</v>
      </c>
      <c r="L24" s="187">
        <v>57.69</v>
      </c>
      <c r="M24" s="179">
        <f t="shared" si="5"/>
        <v>220.245</v>
      </c>
      <c r="N24" s="177">
        <f t="shared" si="5"/>
        <v>1302.0350000000001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83.855999999999995</v>
      </c>
      <c r="U24" s="17">
        <f t="shared" si="3"/>
        <v>0</v>
      </c>
      <c r="V24" s="17">
        <f t="shared" si="7"/>
        <v>1522.2800000000002</v>
      </c>
    </row>
    <row r="25" spans="1:24" ht="14.4" x14ac:dyDescent="0.3">
      <c r="A25" s="3">
        <f t="shared" si="8"/>
        <v>17</v>
      </c>
      <c r="B25" s="113">
        <f t="shared" si="4"/>
        <v>45163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195">
        <v>29.616</v>
      </c>
      <c r="L25" s="187">
        <v>65.554000000000002</v>
      </c>
      <c r="M25" s="179">
        <f t="shared" si="5"/>
        <v>249.86099999999999</v>
      </c>
      <c r="N25" s="177">
        <f t="shared" si="5"/>
        <v>1367.5890000000002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95.17</v>
      </c>
      <c r="U25" s="17">
        <f t="shared" si="3"/>
        <v>0</v>
      </c>
      <c r="V25" s="17">
        <f t="shared" si="7"/>
        <v>1617.4500000000003</v>
      </c>
    </row>
    <row r="26" spans="1:24" ht="14.4" x14ac:dyDescent="0.3">
      <c r="A26" s="3">
        <f t="shared" si="8"/>
        <v>18</v>
      </c>
      <c r="B26" s="113">
        <f t="shared" si="4"/>
        <v>45170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195">
        <v>11.515000000000001</v>
      </c>
      <c r="L26" s="187">
        <v>61.106999999999999</v>
      </c>
      <c r="M26" s="179">
        <f t="shared" ref="M26:N41" si="12">M25+K26</f>
        <v>261.37599999999998</v>
      </c>
      <c r="N26" s="177">
        <f t="shared" si="12"/>
        <v>1428.6960000000001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72.622</v>
      </c>
      <c r="U26" s="17">
        <f t="shared" si="3"/>
        <v>0</v>
      </c>
      <c r="V26" s="17">
        <f t="shared" si="7"/>
        <v>1690.0720000000001</v>
      </c>
    </row>
    <row r="27" spans="1:24" ht="14.4" x14ac:dyDescent="0.3">
      <c r="A27" s="3">
        <f t="shared" si="8"/>
        <v>19</v>
      </c>
      <c r="B27" s="113">
        <f t="shared" si="4"/>
        <v>45177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195">
        <v>33.287999999999997</v>
      </c>
      <c r="L27" s="187">
        <v>32.146000000000001</v>
      </c>
      <c r="M27" s="179">
        <f t="shared" si="12"/>
        <v>294.66399999999999</v>
      </c>
      <c r="N27" s="177">
        <f t="shared" si="12"/>
        <v>1460.8420000000001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65.433999999999997</v>
      </c>
      <c r="U27" s="17">
        <f t="shared" si="3"/>
        <v>0</v>
      </c>
      <c r="V27" s="17">
        <f t="shared" si="7"/>
        <v>1755.5060000000001</v>
      </c>
    </row>
    <row r="28" spans="1:24" ht="14.4" x14ac:dyDescent="0.3">
      <c r="A28" s="3">
        <f t="shared" si="8"/>
        <v>20</v>
      </c>
      <c r="B28" s="113">
        <f t="shared" si="4"/>
        <v>45184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195">
        <v>12.478999999999999</v>
      </c>
      <c r="L28" s="187">
        <v>58.24</v>
      </c>
      <c r="M28" s="179">
        <f t="shared" si="12"/>
        <v>307.14299999999997</v>
      </c>
      <c r="N28" s="177">
        <f t="shared" si="12"/>
        <v>1519.0820000000001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70.718999999999994</v>
      </c>
      <c r="U28" s="17">
        <f t="shared" si="3"/>
        <v>0</v>
      </c>
      <c r="V28" s="17">
        <f t="shared" si="7"/>
        <v>1826.2250000000001</v>
      </c>
    </row>
    <row r="29" spans="1:24" ht="14.4" x14ac:dyDescent="0.3">
      <c r="A29" s="3">
        <f t="shared" si="8"/>
        <v>21</v>
      </c>
      <c r="B29" s="113">
        <f t="shared" si="4"/>
        <v>45191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195">
        <v>41.085000000000001</v>
      </c>
      <c r="L29" s="187">
        <v>6.4219999999999997</v>
      </c>
      <c r="M29" s="179">
        <f t="shared" si="12"/>
        <v>348.22799999999995</v>
      </c>
      <c r="N29" s="177">
        <f t="shared" si="12"/>
        <v>1525.5040000000001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47.506999999999998</v>
      </c>
      <c r="U29" s="17">
        <f t="shared" si="3"/>
        <v>0</v>
      </c>
      <c r="V29" s="17">
        <f t="shared" si="7"/>
        <v>1873.732</v>
      </c>
    </row>
    <row r="30" spans="1:24" ht="14.4" x14ac:dyDescent="0.3">
      <c r="A30" s="3">
        <f t="shared" si="8"/>
        <v>22</v>
      </c>
      <c r="B30" s="113">
        <f t="shared" si="4"/>
        <v>45198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195">
        <v>17.847000000000001</v>
      </c>
      <c r="L30" s="187">
        <v>9.5190000000000001</v>
      </c>
      <c r="M30" s="179">
        <f t="shared" si="12"/>
        <v>366.07499999999993</v>
      </c>
      <c r="N30" s="177">
        <f t="shared" si="12"/>
        <v>1535.0230000000001</v>
      </c>
      <c r="O30" s="183"/>
      <c r="P30" s="148"/>
      <c r="Q30" s="17"/>
      <c r="R30" s="17"/>
      <c r="S30" s="49">
        <f t="shared" si="13"/>
        <v>0</v>
      </c>
      <c r="T30" s="17">
        <f t="shared" si="6"/>
        <v>27.366</v>
      </c>
      <c r="U30" s="45">
        <f t="shared" si="3"/>
        <v>0</v>
      </c>
      <c r="V30" s="17">
        <f t="shared" si="7"/>
        <v>1901.098</v>
      </c>
    </row>
    <row r="31" spans="1:24" ht="14.4" x14ac:dyDescent="0.3">
      <c r="A31" s="3">
        <f t="shared" si="8"/>
        <v>23</v>
      </c>
      <c r="B31" s="113">
        <f t="shared" si="4"/>
        <v>45205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195">
        <v>15.907</v>
      </c>
      <c r="L31" s="187">
        <v>64.091999999999999</v>
      </c>
      <c r="M31" s="179">
        <f t="shared" si="12"/>
        <v>381.98199999999991</v>
      </c>
      <c r="N31" s="177">
        <f t="shared" si="12"/>
        <v>1599.1150000000002</v>
      </c>
      <c r="O31" s="182"/>
      <c r="P31" s="147"/>
      <c r="Q31" s="17"/>
      <c r="R31" s="17"/>
      <c r="S31" s="18">
        <f t="shared" si="13"/>
        <v>0</v>
      </c>
      <c r="T31" s="17">
        <f t="shared" si="6"/>
        <v>79.998999999999995</v>
      </c>
      <c r="U31" s="17">
        <f t="shared" si="3"/>
        <v>0</v>
      </c>
      <c r="V31" s="45">
        <f t="shared" si="7"/>
        <v>1981.0970000000002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45212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195">
        <v>20.048999999999999</v>
      </c>
      <c r="L32" s="187">
        <v>64.778999999999996</v>
      </c>
      <c r="M32" s="179">
        <f t="shared" si="12"/>
        <v>402.03099999999989</v>
      </c>
      <c r="N32" s="177">
        <f t="shared" si="12"/>
        <v>1663.8940000000002</v>
      </c>
      <c r="O32" s="182"/>
      <c r="P32" s="147"/>
      <c r="Q32" s="17"/>
      <c r="R32" s="17"/>
      <c r="S32" s="18">
        <f t="shared" si="13"/>
        <v>0</v>
      </c>
      <c r="T32" s="17">
        <f t="shared" si="6"/>
        <v>84.828000000000003</v>
      </c>
      <c r="U32" s="17">
        <f t="shared" si="3"/>
        <v>0</v>
      </c>
      <c r="V32" s="45">
        <f t="shared" si="7"/>
        <v>2065.9250000000002</v>
      </c>
    </row>
    <row r="33" spans="1:22" ht="14.4" x14ac:dyDescent="0.3">
      <c r="A33" s="3">
        <f t="shared" si="8"/>
        <v>25</v>
      </c>
      <c r="B33" s="113">
        <f t="shared" si="4"/>
        <v>45219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195">
        <v>21.452999999999999</v>
      </c>
      <c r="L33" s="187">
        <v>31.745000000000001</v>
      </c>
      <c r="M33" s="179">
        <f t="shared" si="12"/>
        <v>423.48399999999987</v>
      </c>
      <c r="N33" s="177">
        <f t="shared" si="12"/>
        <v>1695.6390000000001</v>
      </c>
      <c r="O33" s="182"/>
      <c r="P33" s="147"/>
      <c r="Q33" s="17"/>
      <c r="R33" s="17"/>
      <c r="S33" s="18">
        <f t="shared" si="13"/>
        <v>0</v>
      </c>
      <c r="T33" s="17">
        <f t="shared" si="6"/>
        <v>53.198</v>
      </c>
      <c r="U33" s="17">
        <f t="shared" si="3"/>
        <v>0</v>
      </c>
      <c r="V33" s="45">
        <f t="shared" si="7"/>
        <v>2119.123</v>
      </c>
    </row>
    <row r="34" spans="1:22" ht="14.4" x14ac:dyDescent="0.3">
      <c r="A34" s="3">
        <f t="shared" si="8"/>
        <v>26</v>
      </c>
      <c r="B34" s="113">
        <f t="shared" si="4"/>
        <v>45226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195">
        <v>25.454999999999998</v>
      </c>
      <c r="L34" s="187">
        <v>40.643999999999998</v>
      </c>
      <c r="M34" s="179">
        <f t="shared" si="12"/>
        <v>448.93899999999985</v>
      </c>
      <c r="N34" s="177">
        <f t="shared" si="12"/>
        <v>1736.2830000000001</v>
      </c>
      <c r="O34" s="182"/>
      <c r="P34" s="147"/>
      <c r="Q34" s="17"/>
      <c r="R34" s="17"/>
      <c r="S34" s="18">
        <f t="shared" si="13"/>
        <v>0</v>
      </c>
      <c r="T34" s="17">
        <f t="shared" si="6"/>
        <v>66.09899999999999</v>
      </c>
      <c r="U34" s="17">
        <f t="shared" si="3"/>
        <v>0</v>
      </c>
      <c r="V34" s="45">
        <f t="shared" si="7"/>
        <v>2185.2219999999998</v>
      </c>
    </row>
    <row r="35" spans="1:22" ht="14.4" x14ac:dyDescent="0.3">
      <c r="A35" s="3">
        <f t="shared" si="8"/>
        <v>27</v>
      </c>
      <c r="B35" s="113">
        <f t="shared" si="4"/>
        <v>45233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195">
        <v>19.068999999999999</v>
      </c>
      <c r="L35" s="187">
        <v>8.8279999999999994</v>
      </c>
      <c r="M35" s="179">
        <f t="shared" si="12"/>
        <v>468.00799999999987</v>
      </c>
      <c r="N35" s="177">
        <f t="shared" si="12"/>
        <v>1745.1110000000001</v>
      </c>
      <c r="O35" s="182"/>
      <c r="P35" s="147"/>
      <c r="Q35" s="17"/>
      <c r="R35" s="17"/>
      <c r="S35" s="18">
        <f t="shared" si="13"/>
        <v>0</v>
      </c>
      <c r="T35" s="17">
        <f t="shared" si="6"/>
        <v>27.896999999999998</v>
      </c>
      <c r="U35" s="17">
        <f t="shared" si="3"/>
        <v>0</v>
      </c>
      <c r="V35" s="45">
        <f t="shared" si="7"/>
        <v>2213.1190000000001</v>
      </c>
    </row>
    <row r="36" spans="1:22" ht="14.4" x14ac:dyDescent="0.3">
      <c r="A36" s="3">
        <f t="shared" si="8"/>
        <v>28</v>
      </c>
      <c r="B36" s="113">
        <f t="shared" si="4"/>
        <v>45240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195">
        <v>19.367999999999999</v>
      </c>
      <c r="L36" s="187">
        <v>66.953999999999994</v>
      </c>
      <c r="M36" s="179">
        <f t="shared" si="12"/>
        <v>487.37599999999986</v>
      </c>
      <c r="N36" s="177">
        <f t="shared" si="12"/>
        <v>1812.0650000000001</v>
      </c>
      <c r="O36" s="182"/>
      <c r="P36" s="147"/>
      <c r="Q36" s="17"/>
      <c r="R36" s="17"/>
      <c r="S36" s="18">
        <f t="shared" si="13"/>
        <v>0</v>
      </c>
      <c r="T36" s="17">
        <f t="shared" si="6"/>
        <v>86.321999999999989</v>
      </c>
      <c r="U36" s="17">
        <f t="shared" si="3"/>
        <v>0</v>
      </c>
      <c r="V36" s="45">
        <f t="shared" si="7"/>
        <v>2299.4409999999998</v>
      </c>
    </row>
    <row r="37" spans="1:22" ht="14.4" x14ac:dyDescent="0.3">
      <c r="A37" s="3">
        <f t="shared" si="8"/>
        <v>29</v>
      </c>
      <c r="B37" s="113">
        <f t="shared" si="4"/>
        <v>45247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195">
        <v>23.582999999999998</v>
      </c>
      <c r="L37" s="187">
        <v>11.026</v>
      </c>
      <c r="M37" s="179">
        <f t="shared" si="12"/>
        <v>510.95899999999983</v>
      </c>
      <c r="N37" s="177">
        <f t="shared" si="12"/>
        <v>1823.0910000000001</v>
      </c>
      <c r="O37" s="182"/>
      <c r="P37" s="147"/>
      <c r="Q37" s="17"/>
      <c r="R37" s="17"/>
      <c r="S37" s="18">
        <f t="shared" si="13"/>
        <v>0</v>
      </c>
      <c r="T37" s="17">
        <f t="shared" si="6"/>
        <v>34.608999999999995</v>
      </c>
      <c r="U37" s="17">
        <f t="shared" si="3"/>
        <v>0</v>
      </c>
      <c r="V37" s="45">
        <f t="shared" si="7"/>
        <v>2334.0500000000002</v>
      </c>
    </row>
    <row r="38" spans="1:22" ht="14.4" x14ac:dyDescent="0.3">
      <c r="A38" s="3">
        <f t="shared" si="8"/>
        <v>30</v>
      </c>
      <c r="B38" s="113">
        <f t="shared" si="4"/>
        <v>45254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195">
        <v>29.774000000000001</v>
      </c>
      <c r="L38" s="187">
        <v>16.574999999999999</v>
      </c>
      <c r="M38" s="179">
        <f t="shared" si="12"/>
        <v>540.73299999999983</v>
      </c>
      <c r="N38" s="177">
        <f t="shared" si="12"/>
        <v>1839.6660000000002</v>
      </c>
      <c r="O38" s="182"/>
      <c r="P38" s="147"/>
      <c r="Q38" s="17"/>
      <c r="R38" s="17"/>
      <c r="S38" s="18">
        <f t="shared" si="13"/>
        <v>0</v>
      </c>
      <c r="T38" s="17">
        <f t="shared" si="6"/>
        <v>46.349000000000004</v>
      </c>
      <c r="U38" s="17">
        <f t="shared" si="3"/>
        <v>0</v>
      </c>
      <c r="V38" s="45">
        <f t="shared" si="7"/>
        <v>2380.3989999999999</v>
      </c>
    </row>
    <row r="39" spans="1:22" ht="14.4" x14ac:dyDescent="0.3">
      <c r="A39" s="3">
        <f t="shared" si="8"/>
        <v>31</v>
      </c>
      <c r="B39" s="113">
        <f t="shared" si="4"/>
        <v>45261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195">
        <v>23.268000000000001</v>
      </c>
      <c r="L39" s="187">
        <v>13.407</v>
      </c>
      <c r="M39" s="179">
        <f t="shared" si="12"/>
        <v>564.00099999999986</v>
      </c>
      <c r="N39" s="177">
        <f t="shared" si="12"/>
        <v>1853.0730000000001</v>
      </c>
      <c r="O39" s="182"/>
      <c r="P39" s="147"/>
      <c r="Q39" s="17"/>
      <c r="R39" s="17"/>
      <c r="S39" s="18">
        <f t="shared" si="13"/>
        <v>0</v>
      </c>
      <c r="T39" s="17">
        <f t="shared" si="6"/>
        <v>36.674999999999997</v>
      </c>
      <c r="U39" s="17">
        <f t="shared" si="3"/>
        <v>0</v>
      </c>
      <c r="V39" s="45">
        <f t="shared" si="7"/>
        <v>2417.0740000000001</v>
      </c>
    </row>
    <row r="40" spans="1:22" ht="14.4" x14ac:dyDescent="0.3">
      <c r="A40" s="3">
        <f t="shared" si="8"/>
        <v>32</v>
      </c>
      <c r="B40" s="113">
        <f t="shared" si="4"/>
        <v>45268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195">
        <v>23.297000000000001</v>
      </c>
      <c r="L40" s="187">
        <v>30.013000000000002</v>
      </c>
      <c r="M40" s="179">
        <f t="shared" si="12"/>
        <v>587.29799999999989</v>
      </c>
      <c r="N40" s="177">
        <f t="shared" si="12"/>
        <v>1883.086</v>
      </c>
      <c r="O40" s="182"/>
      <c r="P40" s="147"/>
      <c r="Q40" s="17"/>
      <c r="R40" s="17"/>
      <c r="S40" s="18">
        <f t="shared" si="13"/>
        <v>0</v>
      </c>
      <c r="T40" s="17">
        <f t="shared" si="6"/>
        <v>53.31</v>
      </c>
      <c r="U40" s="17">
        <f t="shared" si="3"/>
        <v>0</v>
      </c>
      <c r="V40" s="45">
        <f t="shared" si="7"/>
        <v>2470.384</v>
      </c>
    </row>
    <row r="41" spans="1:22" ht="14.4" x14ac:dyDescent="0.3">
      <c r="A41" s="3">
        <f t="shared" si="8"/>
        <v>33</v>
      </c>
      <c r="B41" s="113">
        <f t="shared" si="4"/>
        <v>45275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195">
        <v>19.363</v>
      </c>
      <c r="L41" s="187">
        <v>28.710999999999999</v>
      </c>
      <c r="M41" s="179">
        <f t="shared" si="12"/>
        <v>606.66099999999983</v>
      </c>
      <c r="N41" s="177">
        <f t="shared" si="12"/>
        <v>1911.797</v>
      </c>
      <c r="O41" s="182"/>
      <c r="P41" s="147"/>
      <c r="Q41" s="17"/>
      <c r="R41" s="17"/>
      <c r="S41" s="18">
        <f t="shared" si="13"/>
        <v>0</v>
      </c>
      <c r="T41" s="17">
        <f t="shared" si="6"/>
        <v>48.073999999999998</v>
      </c>
      <c r="U41" s="17">
        <f t="shared" si="3"/>
        <v>0</v>
      </c>
      <c r="V41" s="45">
        <f t="shared" si="7"/>
        <v>2518.4579999999996</v>
      </c>
    </row>
    <row r="42" spans="1:22" ht="14.4" x14ac:dyDescent="0.3">
      <c r="A42" s="3">
        <f t="shared" si="8"/>
        <v>34</v>
      </c>
      <c r="B42" s="113">
        <f t="shared" si="4"/>
        <v>45282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195">
        <v>21.445</v>
      </c>
      <c r="L42" s="187">
        <v>35.392000000000003</v>
      </c>
      <c r="M42" s="179">
        <f t="shared" ref="M42:M56" si="16">M41+K42</f>
        <v>628.10599999999988</v>
      </c>
      <c r="N42" s="177">
        <f t="shared" ref="M42:N57" si="17">N41+L42</f>
        <v>1947.1890000000001</v>
      </c>
      <c r="O42" s="182"/>
      <c r="P42" s="147"/>
      <c r="Q42" s="17"/>
      <c r="R42" s="17"/>
      <c r="S42" s="18">
        <f t="shared" si="13"/>
        <v>0</v>
      </c>
      <c r="T42" s="17">
        <f t="shared" si="6"/>
        <v>56.837000000000003</v>
      </c>
      <c r="U42" s="17">
        <f t="shared" si="3"/>
        <v>0</v>
      </c>
      <c r="V42" s="45">
        <f t="shared" si="7"/>
        <v>2575.2950000000001</v>
      </c>
    </row>
    <row r="43" spans="1:22" ht="14.4" x14ac:dyDescent="0.3">
      <c r="A43" s="3">
        <f t="shared" si="8"/>
        <v>35</v>
      </c>
      <c r="B43" s="113">
        <f t="shared" si="4"/>
        <v>45289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195">
        <v>38.652999999999999</v>
      </c>
      <c r="L43" s="187">
        <v>4.5330000000000004</v>
      </c>
      <c r="M43" s="179">
        <f t="shared" si="16"/>
        <v>666.7589999999999</v>
      </c>
      <c r="N43" s="177">
        <f t="shared" si="17"/>
        <v>1951.722</v>
      </c>
      <c r="O43" s="182"/>
      <c r="P43" s="147"/>
      <c r="Q43" s="17"/>
      <c r="R43" s="17"/>
      <c r="S43" s="18">
        <f t="shared" si="13"/>
        <v>0</v>
      </c>
      <c r="T43" s="17">
        <f t="shared" si="6"/>
        <v>43.186</v>
      </c>
      <c r="U43" s="17">
        <f t="shared" si="3"/>
        <v>0</v>
      </c>
      <c r="V43" s="45">
        <f t="shared" si="7"/>
        <v>2618.4809999999998</v>
      </c>
    </row>
    <row r="44" spans="1:22" ht="14.4" x14ac:dyDescent="0.3">
      <c r="A44" s="3">
        <f t="shared" si="8"/>
        <v>36</v>
      </c>
      <c r="B44" s="113">
        <f t="shared" si="4"/>
        <v>45296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195">
        <v>19.814</v>
      </c>
      <c r="L44" s="187">
        <v>9.7140000000000004</v>
      </c>
      <c r="M44" s="179">
        <f t="shared" si="16"/>
        <v>686.57299999999987</v>
      </c>
      <c r="N44" s="177">
        <f t="shared" si="17"/>
        <v>1961.4359999999999</v>
      </c>
      <c r="O44" s="182"/>
      <c r="P44" s="147"/>
      <c r="Q44" s="17"/>
      <c r="R44" s="17"/>
      <c r="S44" s="18">
        <f t="shared" si="13"/>
        <v>0</v>
      </c>
      <c r="T44" s="17">
        <f t="shared" si="6"/>
        <v>29.527999999999999</v>
      </c>
      <c r="U44" s="17">
        <f t="shared" si="3"/>
        <v>0</v>
      </c>
      <c r="V44" s="45">
        <f t="shared" si="7"/>
        <v>2648.009</v>
      </c>
    </row>
    <row r="45" spans="1:22" ht="14.4" x14ac:dyDescent="0.3">
      <c r="A45" s="3">
        <f t="shared" si="8"/>
        <v>37</v>
      </c>
      <c r="B45" s="113">
        <f t="shared" si="4"/>
        <v>45303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195">
        <v>32.927999999999997</v>
      </c>
      <c r="L45" s="187">
        <v>14.234999999999999</v>
      </c>
      <c r="M45" s="179">
        <f t="shared" si="16"/>
        <v>719.50099999999986</v>
      </c>
      <c r="N45" s="177">
        <f t="shared" si="17"/>
        <v>1975.6709999999998</v>
      </c>
      <c r="O45" s="182"/>
      <c r="P45" s="147"/>
      <c r="Q45" s="17"/>
      <c r="R45" s="17"/>
      <c r="S45" s="18">
        <f t="shared" si="13"/>
        <v>0</v>
      </c>
      <c r="T45" s="17">
        <f t="shared" si="6"/>
        <v>47.162999999999997</v>
      </c>
      <c r="U45" s="17">
        <f t="shared" si="3"/>
        <v>0</v>
      </c>
      <c r="V45" s="45">
        <f t="shared" si="7"/>
        <v>2695.1719999999996</v>
      </c>
    </row>
    <row r="46" spans="1:22" ht="14.4" x14ac:dyDescent="0.3">
      <c r="A46" s="3">
        <f t="shared" si="8"/>
        <v>38</v>
      </c>
      <c r="B46" s="113">
        <f t="shared" si="4"/>
        <v>45310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195">
        <v>37.252000000000002</v>
      </c>
      <c r="L46" s="187">
        <v>10.865</v>
      </c>
      <c r="M46" s="179">
        <f t="shared" si="16"/>
        <v>756.75299999999982</v>
      </c>
      <c r="N46" s="177">
        <f t="shared" si="17"/>
        <v>1986.5359999999998</v>
      </c>
      <c r="O46" s="182"/>
      <c r="P46" s="147"/>
      <c r="Q46" s="17"/>
      <c r="R46" s="17"/>
      <c r="S46" s="18">
        <f t="shared" si="13"/>
        <v>0</v>
      </c>
      <c r="T46" s="17">
        <f t="shared" si="6"/>
        <v>48.117000000000004</v>
      </c>
      <c r="U46" s="17">
        <f t="shared" si="3"/>
        <v>0</v>
      </c>
      <c r="V46" s="45">
        <f t="shared" si="7"/>
        <v>2743.2889999999998</v>
      </c>
    </row>
    <row r="47" spans="1:22" ht="14.4" x14ac:dyDescent="0.3">
      <c r="A47" s="3">
        <f t="shared" si="8"/>
        <v>39</v>
      </c>
      <c r="B47" s="113">
        <f t="shared" si="4"/>
        <v>45317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195">
        <v>43.854999999999997</v>
      </c>
      <c r="L47" s="187">
        <v>16.003</v>
      </c>
      <c r="M47" s="179">
        <f t="shared" si="16"/>
        <v>800.60799999999983</v>
      </c>
      <c r="N47" s="177">
        <f t="shared" si="17"/>
        <v>2002.5389999999998</v>
      </c>
      <c r="O47" s="182"/>
      <c r="P47" s="147"/>
      <c r="Q47" s="17"/>
      <c r="R47" s="17"/>
      <c r="S47" s="18">
        <f t="shared" si="13"/>
        <v>0</v>
      </c>
      <c r="T47" s="17">
        <f t="shared" si="6"/>
        <v>59.857999999999997</v>
      </c>
      <c r="U47" s="17">
        <f t="shared" si="3"/>
        <v>0</v>
      </c>
      <c r="V47" s="45">
        <f t="shared" si="7"/>
        <v>2803.1469999999995</v>
      </c>
    </row>
    <row r="48" spans="1:22" ht="14.4" x14ac:dyDescent="0.3">
      <c r="A48" s="3">
        <f t="shared" si="8"/>
        <v>40</v>
      </c>
      <c r="B48" s="113">
        <f t="shared" si="4"/>
        <v>45324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195">
        <v>57.204000000000001</v>
      </c>
      <c r="L48" s="187">
        <v>11.824999999999999</v>
      </c>
      <c r="M48" s="179">
        <f t="shared" si="16"/>
        <v>857.81199999999978</v>
      </c>
      <c r="N48" s="177">
        <f t="shared" si="17"/>
        <v>2014.3639999999998</v>
      </c>
      <c r="O48" s="182"/>
      <c r="P48" s="147"/>
      <c r="Q48" s="17"/>
      <c r="R48" s="17"/>
      <c r="S48" s="18">
        <f t="shared" si="13"/>
        <v>0</v>
      </c>
      <c r="T48" s="17">
        <f t="shared" si="6"/>
        <v>69.028999999999996</v>
      </c>
      <c r="U48" s="17">
        <f t="shared" si="3"/>
        <v>0</v>
      </c>
      <c r="V48" s="45">
        <f t="shared" si="7"/>
        <v>2872.1759999999995</v>
      </c>
    </row>
    <row r="49" spans="1:22" ht="14.4" x14ac:dyDescent="0.3">
      <c r="A49" s="3">
        <f t="shared" si="8"/>
        <v>41</v>
      </c>
      <c r="B49" s="113">
        <f t="shared" si="4"/>
        <v>45331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195">
        <v>36.116</v>
      </c>
      <c r="L49" s="187">
        <v>13.095000000000001</v>
      </c>
      <c r="M49" s="179">
        <f t="shared" si="16"/>
        <v>893.92799999999977</v>
      </c>
      <c r="N49" s="177">
        <f t="shared" si="17"/>
        <v>2027.4589999999998</v>
      </c>
      <c r="O49" s="182"/>
      <c r="P49" s="147"/>
      <c r="Q49" s="17"/>
      <c r="R49" s="17"/>
      <c r="S49" s="18">
        <f t="shared" si="13"/>
        <v>0</v>
      </c>
      <c r="T49" s="17">
        <f t="shared" si="6"/>
        <v>49.210999999999999</v>
      </c>
      <c r="U49" s="17">
        <f t="shared" si="3"/>
        <v>0</v>
      </c>
      <c r="V49" s="45">
        <f t="shared" si="7"/>
        <v>2921.3869999999997</v>
      </c>
    </row>
    <row r="50" spans="1:22" ht="14.4" x14ac:dyDescent="0.3">
      <c r="A50" s="3">
        <f t="shared" si="8"/>
        <v>42</v>
      </c>
      <c r="B50" s="113">
        <f t="shared" si="4"/>
        <v>45338</v>
      </c>
      <c r="C50" s="114">
        <v>0</v>
      </c>
      <c r="D50" s="114">
        <v>0</v>
      </c>
      <c r="E50" s="61">
        <f t="shared" ref="E50:F59" si="18">+C50</f>
        <v>0</v>
      </c>
      <c r="F50" s="61">
        <f t="shared" si="18"/>
        <v>0</v>
      </c>
      <c r="G50" s="152">
        <v>0</v>
      </c>
      <c r="H50" s="153">
        <v>0</v>
      </c>
      <c r="I50" s="61">
        <f t="shared" ref="I50:J59" si="19">+G50</f>
        <v>0</v>
      </c>
      <c r="J50" s="61">
        <f t="shared" si="19"/>
        <v>0</v>
      </c>
      <c r="K50" s="195">
        <v>36.432000000000002</v>
      </c>
      <c r="L50" s="187">
        <v>12.663</v>
      </c>
      <c r="M50" s="179">
        <f t="shared" si="16"/>
        <v>930.35999999999979</v>
      </c>
      <c r="N50" s="177">
        <f t="shared" si="17"/>
        <v>2040.1219999999998</v>
      </c>
      <c r="O50" s="182"/>
      <c r="P50" s="147"/>
      <c r="Q50" s="17"/>
      <c r="R50" s="17"/>
      <c r="S50" s="18">
        <f t="shared" si="13"/>
        <v>0</v>
      </c>
      <c r="T50" s="17">
        <f t="shared" si="6"/>
        <v>49.094999999999999</v>
      </c>
      <c r="U50" s="17">
        <f t="shared" si="3"/>
        <v>0</v>
      </c>
      <c r="V50" s="45">
        <f t="shared" si="7"/>
        <v>2970.4819999999995</v>
      </c>
    </row>
    <row r="51" spans="1:22" ht="14.4" x14ac:dyDescent="0.3">
      <c r="A51" s="3">
        <f t="shared" si="8"/>
        <v>43</v>
      </c>
      <c r="B51" s="113">
        <f t="shared" si="4"/>
        <v>45345</v>
      </c>
      <c r="C51" s="114">
        <v>0</v>
      </c>
      <c r="D51" s="114">
        <v>0</v>
      </c>
      <c r="E51" s="61">
        <f t="shared" si="18"/>
        <v>0</v>
      </c>
      <c r="F51" s="61">
        <f t="shared" si="18"/>
        <v>0</v>
      </c>
      <c r="G51" s="152">
        <v>0</v>
      </c>
      <c r="H51" s="153">
        <v>0</v>
      </c>
      <c r="I51" s="61">
        <f t="shared" si="19"/>
        <v>0</v>
      </c>
      <c r="J51" s="61">
        <f t="shared" si="19"/>
        <v>0</v>
      </c>
      <c r="K51" s="195">
        <v>35.963000000000001</v>
      </c>
      <c r="L51" s="187">
        <v>15.212999999999999</v>
      </c>
      <c r="M51" s="179">
        <f t="shared" si="16"/>
        <v>966.32299999999975</v>
      </c>
      <c r="N51" s="177">
        <f t="shared" si="17"/>
        <v>2055.335</v>
      </c>
      <c r="O51" s="182"/>
      <c r="P51" s="147"/>
      <c r="Q51" s="17"/>
      <c r="R51" s="17"/>
      <c r="S51" s="18">
        <f t="shared" si="13"/>
        <v>0</v>
      </c>
      <c r="T51" s="17">
        <f t="shared" si="6"/>
        <v>51.176000000000002</v>
      </c>
      <c r="U51" s="17">
        <f t="shared" si="3"/>
        <v>0</v>
      </c>
      <c r="V51" s="45">
        <f t="shared" si="7"/>
        <v>3021.6579999999999</v>
      </c>
    </row>
    <row r="52" spans="1:22" ht="14.4" x14ac:dyDescent="0.3">
      <c r="A52" s="3">
        <f t="shared" si="8"/>
        <v>44</v>
      </c>
      <c r="B52" s="113">
        <f t="shared" si="4"/>
        <v>45352</v>
      </c>
      <c r="C52" s="114">
        <v>0</v>
      </c>
      <c r="D52" s="114">
        <v>0</v>
      </c>
      <c r="E52" s="61">
        <f t="shared" si="18"/>
        <v>0</v>
      </c>
      <c r="F52" s="61">
        <f t="shared" si="18"/>
        <v>0</v>
      </c>
      <c r="G52" s="152">
        <v>0</v>
      </c>
      <c r="H52" s="153">
        <v>0</v>
      </c>
      <c r="I52" s="61">
        <f t="shared" si="19"/>
        <v>0</v>
      </c>
      <c r="J52" s="61">
        <f t="shared" si="19"/>
        <v>0</v>
      </c>
      <c r="K52" s="199">
        <v>33.392000000000003</v>
      </c>
      <c r="L52" s="187">
        <v>11.584</v>
      </c>
      <c r="M52" s="179">
        <f t="shared" si="16"/>
        <v>999.7149999999998</v>
      </c>
      <c r="N52" s="177">
        <f t="shared" si="17"/>
        <v>2066.9189999999999</v>
      </c>
      <c r="O52" s="182"/>
      <c r="P52" s="147"/>
      <c r="Q52" s="17"/>
      <c r="R52" s="17"/>
      <c r="S52" s="18">
        <f t="shared" si="13"/>
        <v>0</v>
      </c>
      <c r="T52" s="17">
        <f t="shared" si="6"/>
        <v>44.975999999999999</v>
      </c>
      <c r="U52" s="17">
        <f t="shared" si="3"/>
        <v>0</v>
      </c>
      <c r="V52" s="45">
        <f t="shared" si="7"/>
        <v>3066.6339999999996</v>
      </c>
    </row>
    <row r="53" spans="1:22" ht="14.4" x14ac:dyDescent="0.3">
      <c r="A53" s="3">
        <f t="shared" si="8"/>
        <v>45</v>
      </c>
      <c r="B53" s="113">
        <f t="shared" si="4"/>
        <v>45359</v>
      </c>
      <c r="C53" s="114">
        <v>0</v>
      </c>
      <c r="D53" s="114">
        <v>0</v>
      </c>
      <c r="E53" s="61">
        <f t="shared" si="18"/>
        <v>0</v>
      </c>
      <c r="F53" s="61">
        <f t="shared" si="18"/>
        <v>0</v>
      </c>
      <c r="G53" s="152">
        <v>0</v>
      </c>
      <c r="H53" s="153">
        <v>0</v>
      </c>
      <c r="I53" s="61">
        <f t="shared" si="19"/>
        <v>0</v>
      </c>
      <c r="J53" s="61">
        <f t="shared" si="19"/>
        <v>0</v>
      </c>
      <c r="K53" s="199">
        <v>33.210999999999999</v>
      </c>
      <c r="L53" s="187">
        <v>14.439</v>
      </c>
      <c r="M53" s="179">
        <f t="shared" si="16"/>
        <v>1032.9259999999997</v>
      </c>
      <c r="N53" s="177">
        <f t="shared" si="17"/>
        <v>2081.3579999999997</v>
      </c>
      <c r="O53" s="182"/>
      <c r="P53" s="147"/>
      <c r="Q53" s="17"/>
      <c r="R53" s="17"/>
      <c r="S53" s="18">
        <f t="shared" si="13"/>
        <v>0</v>
      </c>
      <c r="T53" s="17">
        <f t="shared" si="6"/>
        <v>47.65</v>
      </c>
      <c r="U53" s="17">
        <f t="shared" si="3"/>
        <v>0</v>
      </c>
      <c r="V53" s="45">
        <f t="shared" si="7"/>
        <v>3114.2839999999997</v>
      </c>
    </row>
    <row r="54" spans="1:22" ht="14.4" x14ac:dyDescent="0.3">
      <c r="A54" s="3">
        <f t="shared" si="8"/>
        <v>46</v>
      </c>
      <c r="B54" s="113">
        <f t="shared" si="4"/>
        <v>45366</v>
      </c>
      <c r="C54" s="114">
        <v>0</v>
      </c>
      <c r="D54" s="114">
        <v>0</v>
      </c>
      <c r="E54" s="61">
        <f t="shared" si="18"/>
        <v>0</v>
      </c>
      <c r="F54" s="61">
        <f t="shared" si="18"/>
        <v>0</v>
      </c>
      <c r="G54" s="152">
        <v>0</v>
      </c>
      <c r="H54" s="153">
        <v>0</v>
      </c>
      <c r="I54" s="61">
        <f t="shared" si="19"/>
        <v>0</v>
      </c>
      <c r="J54" s="61">
        <f t="shared" si="19"/>
        <v>0</v>
      </c>
      <c r="K54" s="199">
        <v>34.374000000000002</v>
      </c>
      <c r="L54" s="187">
        <v>12.907</v>
      </c>
      <c r="M54" s="179">
        <f t="shared" si="16"/>
        <v>1067.2999999999997</v>
      </c>
      <c r="N54" s="177">
        <f t="shared" si="17"/>
        <v>2094.2649999999999</v>
      </c>
      <c r="O54" s="182"/>
      <c r="P54" s="147"/>
      <c r="Q54" s="17"/>
      <c r="R54" s="17"/>
      <c r="S54" s="18">
        <f t="shared" si="13"/>
        <v>0</v>
      </c>
      <c r="T54" s="17">
        <f t="shared" si="6"/>
        <v>47.281000000000006</v>
      </c>
      <c r="U54" s="17">
        <f t="shared" si="3"/>
        <v>0</v>
      </c>
      <c r="V54" s="45">
        <f t="shared" si="7"/>
        <v>3161.5649999999996</v>
      </c>
    </row>
    <row r="55" spans="1:22" ht="14.4" x14ac:dyDescent="0.3">
      <c r="A55" s="3">
        <f t="shared" si="8"/>
        <v>47</v>
      </c>
      <c r="B55" s="113">
        <f t="shared" si="4"/>
        <v>45373</v>
      </c>
      <c r="C55" s="114">
        <v>0</v>
      </c>
      <c r="D55" s="114">
        <v>0</v>
      </c>
      <c r="E55" s="61">
        <f t="shared" si="18"/>
        <v>0</v>
      </c>
      <c r="F55" s="61">
        <f t="shared" si="18"/>
        <v>0</v>
      </c>
      <c r="G55" s="152">
        <v>0</v>
      </c>
      <c r="H55" s="153">
        <v>0</v>
      </c>
      <c r="I55" s="61">
        <f t="shared" si="19"/>
        <v>0</v>
      </c>
      <c r="J55" s="61">
        <f t="shared" si="19"/>
        <v>0</v>
      </c>
      <c r="K55" s="199">
        <v>35.055</v>
      </c>
      <c r="L55" s="187">
        <v>12.516999999999999</v>
      </c>
      <c r="M55" s="179">
        <f t="shared" si="16"/>
        <v>1102.3549999999998</v>
      </c>
      <c r="N55" s="177">
        <f t="shared" si="17"/>
        <v>2106.7819999999997</v>
      </c>
      <c r="O55" s="182"/>
      <c r="P55" s="147"/>
      <c r="Q55" s="17"/>
      <c r="R55" s="17"/>
      <c r="S55" s="18">
        <f t="shared" si="13"/>
        <v>0</v>
      </c>
      <c r="T55" s="17">
        <f t="shared" si="6"/>
        <v>47.572000000000003</v>
      </c>
      <c r="U55" s="17">
        <f t="shared" si="3"/>
        <v>0</v>
      </c>
      <c r="V55" s="45">
        <f t="shared" si="7"/>
        <v>3209.1369999999997</v>
      </c>
    </row>
    <row r="56" spans="1:22" ht="14.4" x14ac:dyDescent="0.3">
      <c r="A56" s="3">
        <f t="shared" si="8"/>
        <v>48</v>
      </c>
      <c r="B56" s="113">
        <f t="shared" si="4"/>
        <v>45380</v>
      </c>
      <c r="C56" s="114">
        <v>0</v>
      </c>
      <c r="D56" s="114">
        <v>0</v>
      </c>
      <c r="E56" s="61">
        <f t="shared" si="18"/>
        <v>0</v>
      </c>
      <c r="F56" s="61">
        <f t="shared" si="18"/>
        <v>0</v>
      </c>
      <c r="G56" s="152">
        <v>0</v>
      </c>
      <c r="H56" s="153">
        <v>0</v>
      </c>
      <c r="I56" s="61">
        <f t="shared" si="19"/>
        <v>0</v>
      </c>
      <c r="J56" s="61">
        <f t="shared" si="19"/>
        <v>0</v>
      </c>
      <c r="K56" s="199">
        <v>30.661999999999999</v>
      </c>
      <c r="L56" s="187">
        <v>8.5579999999999998</v>
      </c>
      <c r="M56" s="179">
        <f t="shared" si="16"/>
        <v>1133.0169999999998</v>
      </c>
      <c r="N56" s="177">
        <f t="shared" si="17"/>
        <v>2115.3399999999997</v>
      </c>
      <c r="O56" s="182"/>
      <c r="P56" s="147"/>
      <c r="Q56" s="17"/>
      <c r="R56" s="17"/>
      <c r="S56" s="18">
        <f t="shared" si="13"/>
        <v>0</v>
      </c>
      <c r="T56" s="17">
        <f t="shared" si="6"/>
        <v>39.22</v>
      </c>
      <c r="U56" s="17">
        <f t="shared" si="3"/>
        <v>0</v>
      </c>
      <c r="V56" s="45">
        <f t="shared" si="7"/>
        <v>3248.3569999999995</v>
      </c>
    </row>
    <row r="57" spans="1:22" ht="14.4" x14ac:dyDescent="0.3">
      <c r="A57" s="3">
        <f t="shared" si="8"/>
        <v>49</v>
      </c>
      <c r="B57" s="113">
        <f t="shared" si="4"/>
        <v>45387</v>
      </c>
      <c r="C57" s="114">
        <v>0</v>
      </c>
      <c r="D57" s="114">
        <v>0</v>
      </c>
      <c r="E57" s="61">
        <f t="shared" si="18"/>
        <v>0</v>
      </c>
      <c r="F57" s="61">
        <f t="shared" si="18"/>
        <v>0</v>
      </c>
      <c r="G57" s="152">
        <v>0</v>
      </c>
      <c r="H57" s="153">
        <v>0</v>
      </c>
      <c r="I57" s="61">
        <f t="shared" si="19"/>
        <v>0</v>
      </c>
      <c r="J57" s="61">
        <f t="shared" si="19"/>
        <v>0</v>
      </c>
      <c r="K57" s="199">
        <v>28.271000000000001</v>
      </c>
      <c r="L57" s="187">
        <v>10.582000000000001</v>
      </c>
      <c r="M57" s="179">
        <f t="shared" si="17"/>
        <v>1161.2879999999998</v>
      </c>
      <c r="N57" s="177">
        <f t="shared" si="17"/>
        <v>2125.9219999999996</v>
      </c>
      <c r="O57" s="182"/>
      <c r="P57" s="147"/>
      <c r="Q57" s="17"/>
      <c r="R57" s="17"/>
      <c r="S57" s="18">
        <f t="shared" si="13"/>
        <v>0</v>
      </c>
      <c r="T57" s="17">
        <f>K57+L57</f>
        <v>38.853000000000002</v>
      </c>
      <c r="U57" s="17">
        <f t="shared" si="3"/>
        <v>0</v>
      </c>
      <c r="V57" s="45">
        <f t="shared" si="7"/>
        <v>3287.2099999999991</v>
      </c>
    </row>
    <row r="58" spans="1:22" ht="14.4" x14ac:dyDescent="0.3">
      <c r="A58" s="3">
        <f t="shared" si="8"/>
        <v>50</v>
      </c>
      <c r="B58" s="113">
        <f t="shared" si="4"/>
        <v>45394</v>
      </c>
      <c r="C58" s="114">
        <v>0</v>
      </c>
      <c r="D58" s="114">
        <v>0</v>
      </c>
      <c r="E58" s="61">
        <f t="shared" si="18"/>
        <v>0</v>
      </c>
      <c r="F58" s="61">
        <f t="shared" si="18"/>
        <v>0</v>
      </c>
      <c r="G58" s="152">
        <v>0</v>
      </c>
      <c r="H58" s="153">
        <v>0</v>
      </c>
      <c r="I58" s="61">
        <f t="shared" si="19"/>
        <v>0</v>
      </c>
      <c r="J58" s="61">
        <f t="shared" si="19"/>
        <v>0</v>
      </c>
      <c r="K58" s="199">
        <v>34.404000000000003</v>
      </c>
      <c r="L58" s="187">
        <v>12.662000000000001</v>
      </c>
      <c r="M58" s="179">
        <f t="shared" ref="M58:N60" si="20">M57+K58</f>
        <v>1195.6919999999998</v>
      </c>
      <c r="N58" s="177">
        <f t="shared" si="20"/>
        <v>2138.5839999999994</v>
      </c>
      <c r="O58" s="182"/>
      <c r="P58" s="147"/>
      <c r="Q58" s="17"/>
      <c r="R58" s="17"/>
      <c r="S58" s="18">
        <f t="shared" si="13"/>
        <v>0</v>
      </c>
      <c r="T58" s="17">
        <f t="shared" si="6"/>
        <v>47.066000000000003</v>
      </c>
      <c r="U58" s="17">
        <f t="shared" si="3"/>
        <v>0</v>
      </c>
      <c r="V58" s="45">
        <f t="shared" si="7"/>
        <v>3334.2759999999989</v>
      </c>
    </row>
    <row r="59" spans="1:22" ht="14.4" x14ac:dyDescent="0.3">
      <c r="A59" s="3">
        <f t="shared" si="8"/>
        <v>51</v>
      </c>
      <c r="B59" s="113">
        <f t="shared" si="4"/>
        <v>45401</v>
      </c>
      <c r="C59" s="114">
        <v>0</v>
      </c>
      <c r="D59" s="114">
        <v>0</v>
      </c>
      <c r="E59" s="61">
        <f t="shared" si="18"/>
        <v>0</v>
      </c>
      <c r="F59" s="61">
        <f t="shared" si="18"/>
        <v>0</v>
      </c>
      <c r="G59" s="152">
        <v>0</v>
      </c>
      <c r="H59" s="153">
        <v>0</v>
      </c>
      <c r="I59" s="61">
        <f t="shared" si="19"/>
        <v>0</v>
      </c>
      <c r="J59" s="61">
        <f t="shared" si="19"/>
        <v>0</v>
      </c>
      <c r="K59" s="196">
        <v>30.89</v>
      </c>
      <c r="L59" s="200">
        <v>13.307</v>
      </c>
      <c r="M59" s="179">
        <f t="shared" si="20"/>
        <v>1226.5819999999999</v>
      </c>
      <c r="N59" s="177">
        <f t="shared" si="20"/>
        <v>2151.8909999999992</v>
      </c>
      <c r="O59" s="182"/>
      <c r="P59" s="147"/>
      <c r="Q59" s="17"/>
      <c r="R59" s="17"/>
      <c r="S59" s="18">
        <f t="shared" si="13"/>
        <v>0</v>
      </c>
      <c r="T59" s="17">
        <f t="shared" si="6"/>
        <v>44.197000000000003</v>
      </c>
      <c r="U59" s="17">
        <f t="shared" si="3"/>
        <v>0</v>
      </c>
      <c r="V59" s="45">
        <f t="shared" si="7"/>
        <v>3378.472999999999</v>
      </c>
    </row>
    <row r="60" spans="1:22" ht="14.4" x14ac:dyDescent="0.3">
      <c r="A60" s="3">
        <f t="shared" si="8"/>
        <v>52</v>
      </c>
      <c r="B60" s="113">
        <f t="shared" si="4"/>
        <v>45408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196">
        <v>23.164000000000001</v>
      </c>
      <c r="L60" s="187">
        <v>15.237</v>
      </c>
      <c r="M60" s="179">
        <f t="shared" si="20"/>
        <v>1249.7459999999999</v>
      </c>
      <c r="N60" s="177">
        <f t="shared" si="20"/>
        <v>2167.1279999999992</v>
      </c>
      <c r="O60" s="182"/>
      <c r="P60" s="147"/>
      <c r="Q60" s="17"/>
      <c r="R60" s="17"/>
      <c r="S60" s="18">
        <f t="shared" si="13"/>
        <v>0</v>
      </c>
      <c r="T60" s="17">
        <f t="shared" si="6"/>
        <v>38.401000000000003</v>
      </c>
      <c r="U60" s="17">
        <f t="shared" si="3"/>
        <v>0</v>
      </c>
      <c r="V60" s="45">
        <f t="shared" si="7"/>
        <v>3416.8739999999989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197"/>
      <c r="L61" s="188"/>
      <c r="M61" s="180">
        <f>M60+K61</f>
        <v>1249.7459999999999</v>
      </c>
      <c r="N61" s="185">
        <f>N60+L61</f>
        <v>2167.1279999999992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3416.8739999999989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177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198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abSelected="1" topLeftCell="A13" zoomScale="98" zoomScaleNormal="98" workbookViewId="0">
      <selection activeCell="K26" sqref="K26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201" customWidth="1"/>
    <col min="12" max="12" width="11.44140625" style="201" customWidth="1"/>
    <col min="13" max="13" width="10.6640625" style="201" customWidth="1"/>
    <col min="14" max="14" width="11.5546875" style="201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C1" s="78" t="s">
        <v>268</v>
      </c>
    </row>
    <row r="2" spans="1:23" ht="15.6" x14ac:dyDescent="0.3">
      <c r="C2" s="78" t="s">
        <v>269</v>
      </c>
      <c r="W2" s="66" t="s">
        <v>83</v>
      </c>
    </row>
    <row r="3" spans="1:23" ht="13.8" thickBot="1" x14ac:dyDescent="0.3"/>
    <row r="4" spans="1:23" s="1" customFormat="1" ht="13.8" thickBot="1" x14ac:dyDescent="0.3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8" t="s">
        <v>235</v>
      </c>
      <c r="L4" s="229"/>
      <c r="M4" s="230" t="s">
        <v>235</v>
      </c>
      <c r="N4" s="231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8" thickBot="1" x14ac:dyDescent="0.3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8" t="s">
        <v>236</v>
      </c>
      <c r="L5" s="229"/>
      <c r="M5" s="230" t="s">
        <v>236</v>
      </c>
      <c r="N5" s="231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8" thickBot="1" x14ac:dyDescent="0.3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202" t="s">
        <v>29</v>
      </c>
      <c r="L6" s="203" t="s">
        <v>30</v>
      </c>
      <c r="M6" s="212" t="s">
        <v>29</v>
      </c>
      <c r="N6" s="213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8" thickBot="1" x14ac:dyDescent="0.3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204"/>
      <c r="L7" s="205"/>
      <c r="M7" s="212" t="s">
        <v>34</v>
      </c>
      <c r="N7" s="212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8" thickBot="1" x14ac:dyDescent="0.3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206" t="s">
        <v>37</v>
      </c>
      <c r="L8" s="207" t="s">
        <v>37</v>
      </c>
      <c r="M8" s="214" t="s">
        <v>37</v>
      </c>
      <c r="N8" s="214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4.4" x14ac:dyDescent="0.3">
      <c r="A9" s="3">
        <v>1</v>
      </c>
      <c r="B9" s="113">
        <v>45415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95">
        <v>14214</v>
      </c>
      <c r="L9" s="95">
        <v>7343</v>
      </c>
      <c r="M9" s="215">
        <f>K9</f>
        <v>14214</v>
      </c>
      <c r="N9" s="216">
        <f>L9</f>
        <v>7343</v>
      </c>
      <c r="O9" s="181"/>
      <c r="P9" s="16"/>
      <c r="Q9" s="16"/>
      <c r="R9" s="16"/>
      <c r="S9" s="16">
        <f t="shared" ref="S9:S27" si="2">C9+D9</f>
        <v>0</v>
      </c>
      <c r="T9" s="16">
        <f>K9+L9</f>
        <v>21557</v>
      </c>
      <c r="U9" s="16">
        <f t="shared" ref="U9:U60" si="3">E9+F9</f>
        <v>0</v>
      </c>
      <c r="V9" s="16">
        <f>M9+N9</f>
        <v>21557</v>
      </c>
    </row>
    <row r="10" spans="1:23" ht="14.4" x14ac:dyDescent="0.3">
      <c r="A10" s="3">
        <f>A9+1</f>
        <v>2</v>
      </c>
      <c r="B10" s="113">
        <f t="shared" ref="B10:B60" si="4">B9+7</f>
        <v>45422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95">
        <v>21635</v>
      </c>
      <c r="L10" s="95">
        <v>9756</v>
      </c>
      <c r="M10" s="217">
        <f t="shared" ref="M10:N25" si="5">M9+K10</f>
        <v>35849</v>
      </c>
      <c r="N10" s="216">
        <f t="shared" si="5"/>
        <v>17099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31391</v>
      </c>
      <c r="U10" s="17">
        <f t="shared" si="3"/>
        <v>0</v>
      </c>
      <c r="V10" s="17">
        <f t="shared" ref="V10:V60" si="7">M10+N10</f>
        <v>52948</v>
      </c>
    </row>
    <row r="11" spans="1:23" ht="14.4" x14ac:dyDescent="0.3">
      <c r="A11" s="3">
        <f t="shared" ref="A11:A61" si="8">A10+1</f>
        <v>3</v>
      </c>
      <c r="B11" s="113">
        <f t="shared" si="4"/>
        <v>45429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95">
        <v>22745</v>
      </c>
      <c r="L11" s="95">
        <v>12433</v>
      </c>
      <c r="M11" s="217">
        <f t="shared" si="5"/>
        <v>58594</v>
      </c>
      <c r="N11" s="216">
        <f t="shared" si="5"/>
        <v>29532</v>
      </c>
      <c r="O11" s="45"/>
      <c r="P11" s="17"/>
      <c r="Q11" s="17"/>
      <c r="R11" s="17"/>
      <c r="S11" s="17">
        <f t="shared" si="2"/>
        <v>0</v>
      </c>
      <c r="T11" s="17">
        <f t="shared" si="6"/>
        <v>35178</v>
      </c>
      <c r="U11" s="17">
        <f t="shared" si="3"/>
        <v>0</v>
      </c>
      <c r="V11" s="17">
        <f t="shared" si="7"/>
        <v>88126</v>
      </c>
    </row>
    <row r="12" spans="1:23" ht="14.4" x14ac:dyDescent="0.3">
      <c r="A12" s="3">
        <f t="shared" si="8"/>
        <v>4</v>
      </c>
      <c r="B12" s="113">
        <f t="shared" si="4"/>
        <v>45436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95">
        <v>22300</v>
      </c>
      <c r="L12" s="95">
        <v>15500</v>
      </c>
      <c r="M12" s="217">
        <f t="shared" si="5"/>
        <v>80894</v>
      </c>
      <c r="N12" s="216">
        <f t="shared" si="5"/>
        <v>45032</v>
      </c>
      <c r="O12" s="45"/>
      <c r="P12" s="17"/>
      <c r="Q12" s="17"/>
      <c r="R12" s="17"/>
      <c r="S12" s="17">
        <f t="shared" si="2"/>
        <v>0</v>
      </c>
      <c r="T12" s="17">
        <f t="shared" si="6"/>
        <v>37800</v>
      </c>
      <c r="U12" s="17">
        <f t="shared" si="3"/>
        <v>0</v>
      </c>
      <c r="V12" s="17">
        <f t="shared" si="7"/>
        <v>125926</v>
      </c>
    </row>
    <row r="13" spans="1:23" ht="14.4" x14ac:dyDescent="0.3">
      <c r="A13" s="3">
        <f t="shared" si="8"/>
        <v>5</v>
      </c>
      <c r="B13" s="113">
        <f t="shared" si="4"/>
        <v>45443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95">
        <v>28545</v>
      </c>
      <c r="L13" s="95">
        <v>17244</v>
      </c>
      <c r="M13" s="217">
        <f t="shared" si="5"/>
        <v>109439</v>
      </c>
      <c r="N13" s="216">
        <f t="shared" si="5"/>
        <v>62276</v>
      </c>
      <c r="O13" s="45"/>
      <c r="P13" s="17"/>
      <c r="Q13" s="17"/>
      <c r="R13" s="17"/>
      <c r="S13" s="17">
        <f t="shared" si="2"/>
        <v>0</v>
      </c>
      <c r="T13" s="17">
        <f t="shared" si="6"/>
        <v>45789</v>
      </c>
      <c r="U13" s="17">
        <f t="shared" si="3"/>
        <v>0</v>
      </c>
      <c r="V13" s="17">
        <f t="shared" si="7"/>
        <v>171715</v>
      </c>
    </row>
    <row r="14" spans="1:23" ht="14.4" x14ac:dyDescent="0.3">
      <c r="A14" s="3">
        <f t="shared" si="8"/>
        <v>6</v>
      </c>
      <c r="B14" s="113">
        <f t="shared" si="4"/>
        <v>45450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95">
        <v>26777</v>
      </c>
      <c r="L14" s="95">
        <v>14467</v>
      </c>
      <c r="M14" s="217">
        <f t="shared" si="5"/>
        <v>136216</v>
      </c>
      <c r="N14" s="216">
        <f t="shared" si="5"/>
        <v>76743</v>
      </c>
      <c r="O14" s="45"/>
      <c r="P14" s="17"/>
      <c r="Q14" s="17"/>
      <c r="R14" s="17"/>
      <c r="S14" s="17">
        <f t="shared" si="2"/>
        <v>0</v>
      </c>
      <c r="T14" s="17">
        <f t="shared" si="6"/>
        <v>41244</v>
      </c>
      <c r="U14" s="17">
        <f t="shared" si="3"/>
        <v>0</v>
      </c>
      <c r="V14" s="17">
        <f t="shared" si="7"/>
        <v>212959</v>
      </c>
    </row>
    <row r="15" spans="1:23" ht="14.4" x14ac:dyDescent="0.3">
      <c r="A15" s="3">
        <f t="shared" si="8"/>
        <v>7</v>
      </c>
      <c r="B15" s="113">
        <f t="shared" si="4"/>
        <v>45457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95">
        <v>23253</v>
      </c>
      <c r="L15" s="95">
        <v>17559</v>
      </c>
      <c r="M15" s="217">
        <f t="shared" si="5"/>
        <v>159469</v>
      </c>
      <c r="N15" s="216">
        <f t="shared" si="5"/>
        <v>94302</v>
      </c>
      <c r="O15" s="45"/>
      <c r="P15" s="17"/>
      <c r="Q15" s="17"/>
      <c r="R15" s="17"/>
      <c r="S15" s="17">
        <f t="shared" si="2"/>
        <v>0</v>
      </c>
      <c r="T15" s="17">
        <f t="shared" si="6"/>
        <v>40812</v>
      </c>
      <c r="U15" s="17">
        <f t="shared" si="3"/>
        <v>0</v>
      </c>
      <c r="V15" s="17">
        <f t="shared" si="7"/>
        <v>253771</v>
      </c>
    </row>
    <row r="16" spans="1:23" ht="14.4" x14ac:dyDescent="0.3">
      <c r="A16" s="3">
        <f t="shared" si="8"/>
        <v>8</v>
      </c>
      <c r="B16" s="113">
        <f t="shared" si="4"/>
        <v>45464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95">
        <v>25449</v>
      </c>
      <c r="L16" s="95">
        <v>14173</v>
      </c>
      <c r="M16" s="217">
        <f t="shared" si="5"/>
        <v>184918</v>
      </c>
      <c r="N16" s="216">
        <f t="shared" si="5"/>
        <v>108475</v>
      </c>
      <c r="O16" s="45"/>
      <c r="P16" s="17"/>
      <c r="Q16" s="17"/>
      <c r="R16" s="17"/>
      <c r="S16" s="17">
        <f t="shared" si="2"/>
        <v>0</v>
      </c>
      <c r="T16" s="17">
        <f t="shared" si="6"/>
        <v>39622</v>
      </c>
      <c r="U16" s="17">
        <f t="shared" si="3"/>
        <v>0</v>
      </c>
      <c r="V16" s="17">
        <f t="shared" si="7"/>
        <v>293393</v>
      </c>
    </row>
    <row r="17" spans="1:24" ht="14.4" x14ac:dyDescent="0.3">
      <c r="A17" s="3">
        <f t="shared" si="8"/>
        <v>9</v>
      </c>
      <c r="B17" s="113">
        <f t="shared" si="4"/>
        <v>45471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95">
        <v>29977</v>
      </c>
      <c r="L17" s="95">
        <v>15529</v>
      </c>
      <c r="M17" s="217">
        <f t="shared" si="5"/>
        <v>214895</v>
      </c>
      <c r="N17" s="216">
        <f t="shared" si="5"/>
        <v>124004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45506</v>
      </c>
      <c r="U17" s="17">
        <f t="shared" si="3"/>
        <v>0</v>
      </c>
      <c r="V17" s="17">
        <f t="shared" si="7"/>
        <v>338899</v>
      </c>
    </row>
    <row r="18" spans="1:24" ht="14.4" x14ac:dyDescent="0.3">
      <c r="A18" s="3">
        <f t="shared" si="8"/>
        <v>10</v>
      </c>
      <c r="B18" s="113">
        <f t="shared" si="4"/>
        <v>45478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95">
        <v>26428</v>
      </c>
      <c r="L18" s="95">
        <v>12256</v>
      </c>
      <c r="M18" s="217">
        <f t="shared" si="5"/>
        <v>241323</v>
      </c>
      <c r="N18" s="216">
        <f t="shared" si="5"/>
        <v>136260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38684</v>
      </c>
      <c r="U18" s="17">
        <f t="shared" si="3"/>
        <v>0</v>
      </c>
      <c r="V18" s="17">
        <f t="shared" si="7"/>
        <v>377583</v>
      </c>
    </row>
    <row r="19" spans="1:24" ht="14.4" x14ac:dyDescent="0.3">
      <c r="A19" s="3">
        <f t="shared" si="8"/>
        <v>11</v>
      </c>
      <c r="B19" s="113">
        <f t="shared" si="4"/>
        <v>45485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95">
        <v>39756</v>
      </c>
      <c r="L19" s="95">
        <v>15354</v>
      </c>
      <c r="M19" s="217">
        <f t="shared" si="5"/>
        <v>281079</v>
      </c>
      <c r="N19" s="216">
        <f t="shared" si="5"/>
        <v>151614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55110</v>
      </c>
      <c r="U19" s="17">
        <f t="shared" si="3"/>
        <v>0</v>
      </c>
      <c r="V19" s="17">
        <f t="shared" si="7"/>
        <v>432693</v>
      </c>
    </row>
    <row r="20" spans="1:24" ht="14.4" x14ac:dyDescent="0.3">
      <c r="A20" s="3">
        <f t="shared" si="8"/>
        <v>12</v>
      </c>
      <c r="B20" s="113">
        <f t="shared" si="4"/>
        <v>45492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95">
        <v>30048</v>
      </c>
      <c r="L20" s="95">
        <v>15397</v>
      </c>
      <c r="M20" s="217">
        <f t="shared" si="5"/>
        <v>311127</v>
      </c>
      <c r="N20" s="216">
        <f t="shared" si="5"/>
        <v>167011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45445</v>
      </c>
      <c r="U20" s="17">
        <f t="shared" si="3"/>
        <v>0</v>
      </c>
      <c r="V20" s="17">
        <f t="shared" si="7"/>
        <v>478138</v>
      </c>
    </row>
    <row r="21" spans="1:24" ht="14.4" x14ac:dyDescent="0.3">
      <c r="A21" s="3">
        <f t="shared" si="8"/>
        <v>13</v>
      </c>
      <c r="B21" s="113">
        <f t="shared" si="4"/>
        <v>45499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95">
        <v>32093</v>
      </c>
      <c r="L21" s="95">
        <v>12262</v>
      </c>
      <c r="M21" s="217">
        <f t="shared" si="5"/>
        <v>343220</v>
      </c>
      <c r="N21" s="216">
        <f t="shared" si="5"/>
        <v>179273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44355</v>
      </c>
      <c r="U21" s="17">
        <f t="shared" si="3"/>
        <v>0</v>
      </c>
      <c r="V21" s="17">
        <f t="shared" si="7"/>
        <v>522493</v>
      </c>
    </row>
    <row r="22" spans="1:24" ht="14.4" x14ac:dyDescent="0.3">
      <c r="A22" s="3">
        <f t="shared" si="8"/>
        <v>14</v>
      </c>
      <c r="B22" s="113">
        <f t="shared" si="4"/>
        <v>45506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95">
        <v>26770</v>
      </c>
      <c r="L22" s="95">
        <v>16044</v>
      </c>
      <c r="M22" s="217">
        <f t="shared" si="5"/>
        <v>369990</v>
      </c>
      <c r="N22" s="216">
        <f t="shared" si="5"/>
        <v>195317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42814</v>
      </c>
      <c r="U22" s="17">
        <f t="shared" si="3"/>
        <v>0</v>
      </c>
      <c r="V22" s="17">
        <f t="shared" si="7"/>
        <v>565307</v>
      </c>
    </row>
    <row r="23" spans="1:24" ht="14.4" x14ac:dyDescent="0.3">
      <c r="A23" s="3">
        <f t="shared" si="8"/>
        <v>15</v>
      </c>
      <c r="B23" s="113">
        <f t="shared" si="4"/>
        <v>45513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95">
        <v>23760</v>
      </c>
      <c r="L23" s="95">
        <v>14371</v>
      </c>
      <c r="M23" s="217">
        <f t="shared" si="5"/>
        <v>393750</v>
      </c>
      <c r="N23" s="216">
        <f t="shared" si="5"/>
        <v>209688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38131</v>
      </c>
      <c r="U23" s="17">
        <f t="shared" si="3"/>
        <v>0</v>
      </c>
      <c r="V23" s="17">
        <f t="shared" si="7"/>
        <v>603438</v>
      </c>
    </row>
    <row r="24" spans="1:24" ht="14.4" x14ac:dyDescent="0.3">
      <c r="A24" s="3">
        <f t="shared" si="8"/>
        <v>16</v>
      </c>
      <c r="B24" s="113">
        <f t="shared" si="4"/>
        <v>45520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95">
        <v>33115</v>
      </c>
      <c r="L24" s="95">
        <v>18661</v>
      </c>
      <c r="M24" s="217">
        <f t="shared" si="5"/>
        <v>426865</v>
      </c>
      <c r="N24" s="216">
        <f t="shared" si="5"/>
        <v>228349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51776</v>
      </c>
      <c r="U24" s="17">
        <f t="shared" si="3"/>
        <v>0</v>
      </c>
      <c r="V24" s="17">
        <f t="shared" si="7"/>
        <v>655214</v>
      </c>
    </row>
    <row r="25" spans="1:24" ht="14.4" x14ac:dyDescent="0.3">
      <c r="A25" s="3">
        <f t="shared" si="8"/>
        <v>17</v>
      </c>
      <c r="B25" s="113">
        <f t="shared" si="4"/>
        <v>45527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95">
        <v>29741</v>
      </c>
      <c r="L25" s="95">
        <v>13535</v>
      </c>
      <c r="M25" s="217">
        <f t="shared" si="5"/>
        <v>456606</v>
      </c>
      <c r="N25" s="216">
        <f t="shared" si="5"/>
        <v>241884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43276</v>
      </c>
      <c r="U25" s="17">
        <f t="shared" si="3"/>
        <v>0</v>
      </c>
      <c r="V25" s="17">
        <f t="shared" si="7"/>
        <v>698490</v>
      </c>
    </row>
    <row r="26" spans="1:24" ht="14.4" x14ac:dyDescent="0.3">
      <c r="A26" s="3">
        <f t="shared" si="8"/>
        <v>18</v>
      </c>
      <c r="B26" s="113">
        <f t="shared" si="4"/>
        <v>45534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95">
        <v>24142</v>
      </c>
      <c r="L26" s="95">
        <v>15542</v>
      </c>
      <c r="M26" s="217">
        <f t="shared" ref="M26:N41" si="12">M25+K26</f>
        <v>480748</v>
      </c>
      <c r="N26" s="216">
        <f t="shared" si="12"/>
        <v>257426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39684</v>
      </c>
      <c r="U26" s="17">
        <f t="shared" si="3"/>
        <v>0</v>
      </c>
      <c r="V26" s="17">
        <f t="shared" si="7"/>
        <v>738174</v>
      </c>
    </row>
    <row r="27" spans="1:24" ht="14.4" x14ac:dyDescent="0.3">
      <c r="A27" s="3">
        <f t="shared" si="8"/>
        <v>19</v>
      </c>
      <c r="B27" s="113">
        <f t="shared" si="4"/>
        <v>45541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95"/>
      <c r="L27" s="95"/>
      <c r="M27" s="217">
        <f t="shared" si="12"/>
        <v>480748</v>
      </c>
      <c r="N27" s="216">
        <f t="shared" si="12"/>
        <v>257426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0</v>
      </c>
      <c r="U27" s="17">
        <f t="shared" si="3"/>
        <v>0</v>
      </c>
      <c r="V27" s="17">
        <f t="shared" si="7"/>
        <v>738174</v>
      </c>
    </row>
    <row r="28" spans="1:24" ht="14.4" x14ac:dyDescent="0.3">
      <c r="A28" s="3">
        <f t="shared" si="8"/>
        <v>20</v>
      </c>
      <c r="B28" s="113">
        <f t="shared" si="4"/>
        <v>45548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95"/>
      <c r="L28" s="95"/>
      <c r="M28" s="217">
        <f t="shared" si="12"/>
        <v>480748</v>
      </c>
      <c r="N28" s="216">
        <f t="shared" si="12"/>
        <v>257426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0</v>
      </c>
      <c r="U28" s="17">
        <f t="shared" si="3"/>
        <v>0</v>
      </c>
      <c r="V28" s="17">
        <f t="shared" si="7"/>
        <v>738174</v>
      </c>
    </row>
    <row r="29" spans="1:24" ht="14.4" x14ac:dyDescent="0.3">
      <c r="A29" s="3">
        <f t="shared" si="8"/>
        <v>21</v>
      </c>
      <c r="B29" s="113">
        <f t="shared" si="4"/>
        <v>45555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95"/>
      <c r="L29" s="95"/>
      <c r="M29" s="217">
        <f t="shared" si="12"/>
        <v>480748</v>
      </c>
      <c r="N29" s="216">
        <f t="shared" si="12"/>
        <v>257426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0</v>
      </c>
      <c r="U29" s="17">
        <f t="shared" si="3"/>
        <v>0</v>
      </c>
      <c r="V29" s="17">
        <f t="shared" si="7"/>
        <v>738174</v>
      </c>
    </row>
    <row r="30" spans="1:24" ht="14.4" x14ac:dyDescent="0.3">
      <c r="A30" s="3">
        <f t="shared" si="8"/>
        <v>22</v>
      </c>
      <c r="B30" s="113">
        <f t="shared" si="4"/>
        <v>45562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95"/>
      <c r="L30" s="95"/>
      <c r="M30" s="217">
        <f t="shared" si="12"/>
        <v>480748</v>
      </c>
      <c r="N30" s="216">
        <f t="shared" si="12"/>
        <v>257426</v>
      </c>
      <c r="O30" s="183"/>
      <c r="P30" s="148"/>
      <c r="Q30" s="17"/>
      <c r="R30" s="17"/>
      <c r="S30" s="49">
        <f t="shared" si="13"/>
        <v>0</v>
      </c>
      <c r="T30" s="17">
        <f t="shared" si="6"/>
        <v>0</v>
      </c>
      <c r="U30" s="45">
        <f t="shared" si="3"/>
        <v>0</v>
      </c>
      <c r="V30" s="17">
        <f t="shared" si="7"/>
        <v>738174</v>
      </c>
    </row>
    <row r="31" spans="1:24" ht="14.4" x14ac:dyDescent="0.3">
      <c r="A31" s="3">
        <f t="shared" si="8"/>
        <v>23</v>
      </c>
      <c r="B31" s="113">
        <f t="shared" si="4"/>
        <v>45569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95"/>
      <c r="L31" s="95"/>
      <c r="M31" s="217">
        <f t="shared" si="12"/>
        <v>480748</v>
      </c>
      <c r="N31" s="216">
        <f t="shared" si="12"/>
        <v>257426</v>
      </c>
      <c r="O31" s="182"/>
      <c r="P31" s="147"/>
      <c r="Q31" s="17"/>
      <c r="R31" s="17"/>
      <c r="S31" s="18">
        <f t="shared" si="13"/>
        <v>0</v>
      </c>
      <c r="T31" s="17">
        <f t="shared" si="6"/>
        <v>0</v>
      </c>
      <c r="U31" s="17">
        <f t="shared" si="3"/>
        <v>0</v>
      </c>
      <c r="V31" s="45">
        <f t="shared" si="7"/>
        <v>738174</v>
      </c>
      <c r="X31" s="66" t="s">
        <v>84</v>
      </c>
    </row>
    <row r="32" spans="1:24" ht="14.4" x14ac:dyDescent="0.3">
      <c r="A32" s="3">
        <f t="shared" si="8"/>
        <v>24</v>
      </c>
      <c r="B32" s="113">
        <f t="shared" si="4"/>
        <v>45576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95"/>
      <c r="L32" s="95"/>
      <c r="M32" s="217">
        <f t="shared" si="12"/>
        <v>480748</v>
      </c>
      <c r="N32" s="216">
        <f t="shared" si="12"/>
        <v>257426</v>
      </c>
      <c r="O32" s="182"/>
      <c r="P32" s="147"/>
      <c r="Q32" s="17"/>
      <c r="R32" s="17"/>
      <c r="S32" s="18">
        <f t="shared" si="13"/>
        <v>0</v>
      </c>
      <c r="T32" s="17">
        <f t="shared" si="6"/>
        <v>0</v>
      </c>
      <c r="U32" s="17">
        <f t="shared" si="3"/>
        <v>0</v>
      </c>
      <c r="V32" s="45">
        <f t="shared" si="7"/>
        <v>738174</v>
      </c>
    </row>
    <row r="33" spans="1:22" ht="14.4" x14ac:dyDescent="0.3">
      <c r="A33" s="3">
        <f t="shared" si="8"/>
        <v>25</v>
      </c>
      <c r="B33" s="113">
        <f t="shared" si="4"/>
        <v>45583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95"/>
      <c r="L33" s="95"/>
      <c r="M33" s="217">
        <f t="shared" si="12"/>
        <v>480748</v>
      </c>
      <c r="N33" s="216">
        <f t="shared" si="12"/>
        <v>257426</v>
      </c>
      <c r="O33" s="182"/>
      <c r="P33" s="147"/>
      <c r="Q33" s="17"/>
      <c r="R33" s="17"/>
      <c r="S33" s="18">
        <f t="shared" si="13"/>
        <v>0</v>
      </c>
      <c r="T33" s="17">
        <f t="shared" si="6"/>
        <v>0</v>
      </c>
      <c r="U33" s="17">
        <f t="shared" si="3"/>
        <v>0</v>
      </c>
      <c r="V33" s="45">
        <f t="shared" si="7"/>
        <v>738174</v>
      </c>
    </row>
    <row r="34" spans="1:22" ht="14.4" x14ac:dyDescent="0.3">
      <c r="A34" s="3">
        <f t="shared" si="8"/>
        <v>26</v>
      </c>
      <c r="B34" s="113">
        <f t="shared" si="4"/>
        <v>45590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95"/>
      <c r="L34" s="95"/>
      <c r="M34" s="217">
        <f t="shared" si="12"/>
        <v>480748</v>
      </c>
      <c r="N34" s="216">
        <f t="shared" si="12"/>
        <v>257426</v>
      </c>
      <c r="O34" s="182"/>
      <c r="P34" s="147"/>
      <c r="Q34" s="17"/>
      <c r="R34" s="17"/>
      <c r="S34" s="18">
        <f t="shared" si="13"/>
        <v>0</v>
      </c>
      <c r="T34" s="17">
        <f t="shared" si="6"/>
        <v>0</v>
      </c>
      <c r="U34" s="17">
        <f t="shared" si="3"/>
        <v>0</v>
      </c>
      <c r="V34" s="45">
        <f t="shared" si="7"/>
        <v>738174</v>
      </c>
    </row>
    <row r="35" spans="1:22" ht="14.4" x14ac:dyDescent="0.3">
      <c r="A35" s="3">
        <f t="shared" si="8"/>
        <v>27</v>
      </c>
      <c r="B35" s="113">
        <f t="shared" si="4"/>
        <v>45597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95"/>
      <c r="L35" s="95"/>
      <c r="M35" s="217">
        <f t="shared" si="12"/>
        <v>480748</v>
      </c>
      <c r="N35" s="216">
        <f t="shared" si="12"/>
        <v>257426</v>
      </c>
      <c r="O35" s="182"/>
      <c r="P35" s="147"/>
      <c r="Q35" s="17"/>
      <c r="R35" s="17"/>
      <c r="S35" s="18">
        <f t="shared" si="13"/>
        <v>0</v>
      </c>
      <c r="T35" s="17">
        <f t="shared" si="6"/>
        <v>0</v>
      </c>
      <c r="U35" s="17">
        <f t="shared" si="3"/>
        <v>0</v>
      </c>
      <c r="V35" s="45">
        <f t="shared" si="7"/>
        <v>738174</v>
      </c>
    </row>
    <row r="36" spans="1:22" ht="14.4" x14ac:dyDescent="0.3">
      <c r="A36" s="3">
        <f t="shared" si="8"/>
        <v>28</v>
      </c>
      <c r="B36" s="113">
        <f t="shared" si="4"/>
        <v>45604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95"/>
      <c r="L36" s="95"/>
      <c r="M36" s="217">
        <f t="shared" si="12"/>
        <v>480748</v>
      </c>
      <c r="N36" s="216">
        <f t="shared" si="12"/>
        <v>257426</v>
      </c>
      <c r="O36" s="182"/>
      <c r="P36" s="147"/>
      <c r="Q36" s="17"/>
      <c r="R36" s="17"/>
      <c r="S36" s="18">
        <f t="shared" si="13"/>
        <v>0</v>
      </c>
      <c r="T36" s="17">
        <f t="shared" si="6"/>
        <v>0</v>
      </c>
      <c r="U36" s="17">
        <f t="shared" si="3"/>
        <v>0</v>
      </c>
      <c r="V36" s="45">
        <f t="shared" si="7"/>
        <v>738174</v>
      </c>
    </row>
    <row r="37" spans="1:22" ht="14.4" x14ac:dyDescent="0.3">
      <c r="A37" s="3">
        <f t="shared" si="8"/>
        <v>29</v>
      </c>
      <c r="B37" s="113">
        <f t="shared" si="4"/>
        <v>45611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95"/>
      <c r="L37" s="95"/>
      <c r="M37" s="217">
        <f t="shared" si="12"/>
        <v>480748</v>
      </c>
      <c r="N37" s="216">
        <f t="shared" si="12"/>
        <v>257426</v>
      </c>
      <c r="O37" s="182"/>
      <c r="P37" s="147"/>
      <c r="Q37" s="17"/>
      <c r="R37" s="17"/>
      <c r="S37" s="18">
        <f t="shared" si="13"/>
        <v>0</v>
      </c>
      <c r="T37" s="17">
        <f t="shared" si="6"/>
        <v>0</v>
      </c>
      <c r="U37" s="17">
        <f t="shared" si="3"/>
        <v>0</v>
      </c>
      <c r="V37" s="45">
        <f t="shared" si="7"/>
        <v>738174</v>
      </c>
    </row>
    <row r="38" spans="1:22" ht="14.4" x14ac:dyDescent="0.3">
      <c r="A38" s="3">
        <f t="shared" si="8"/>
        <v>30</v>
      </c>
      <c r="B38" s="113">
        <f t="shared" si="4"/>
        <v>45618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95"/>
      <c r="L38" s="95"/>
      <c r="M38" s="217">
        <f t="shared" si="12"/>
        <v>480748</v>
      </c>
      <c r="N38" s="216">
        <f t="shared" si="12"/>
        <v>257426</v>
      </c>
      <c r="O38" s="182"/>
      <c r="P38" s="147"/>
      <c r="Q38" s="17"/>
      <c r="R38" s="17"/>
      <c r="S38" s="18">
        <f t="shared" si="13"/>
        <v>0</v>
      </c>
      <c r="T38" s="17">
        <f t="shared" si="6"/>
        <v>0</v>
      </c>
      <c r="U38" s="17">
        <f t="shared" si="3"/>
        <v>0</v>
      </c>
      <c r="V38" s="45">
        <f t="shared" si="7"/>
        <v>738174</v>
      </c>
    </row>
    <row r="39" spans="1:22" ht="14.4" x14ac:dyDescent="0.3">
      <c r="A39" s="3">
        <f t="shared" si="8"/>
        <v>31</v>
      </c>
      <c r="B39" s="113">
        <f t="shared" si="4"/>
        <v>45625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95"/>
      <c r="L39" s="95"/>
      <c r="M39" s="217">
        <f t="shared" si="12"/>
        <v>480748</v>
      </c>
      <c r="N39" s="216">
        <f t="shared" si="12"/>
        <v>257426</v>
      </c>
      <c r="O39" s="182"/>
      <c r="P39" s="147"/>
      <c r="Q39" s="17"/>
      <c r="R39" s="17"/>
      <c r="S39" s="18">
        <f t="shared" si="13"/>
        <v>0</v>
      </c>
      <c r="T39" s="17">
        <f t="shared" si="6"/>
        <v>0</v>
      </c>
      <c r="U39" s="17">
        <f t="shared" si="3"/>
        <v>0</v>
      </c>
      <c r="V39" s="45">
        <f t="shared" si="7"/>
        <v>738174</v>
      </c>
    </row>
    <row r="40" spans="1:22" ht="14.4" x14ac:dyDescent="0.3">
      <c r="A40" s="3">
        <f t="shared" si="8"/>
        <v>32</v>
      </c>
      <c r="B40" s="113">
        <f t="shared" si="4"/>
        <v>45632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95"/>
      <c r="L40" s="95"/>
      <c r="M40" s="217">
        <f t="shared" si="12"/>
        <v>480748</v>
      </c>
      <c r="N40" s="216">
        <f t="shared" si="12"/>
        <v>257426</v>
      </c>
      <c r="O40" s="182"/>
      <c r="P40" s="147"/>
      <c r="Q40" s="17"/>
      <c r="R40" s="17"/>
      <c r="S40" s="18">
        <f t="shared" si="13"/>
        <v>0</v>
      </c>
      <c r="T40" s="17">
        <f t="shared" si="6"/>
        <v>0</v>
      </c>
      <c r="U40" s="17">
        <f t="shared" si="3"/>
        <v>0</v>
      </c>
      <c r="V40" s="45">
        <f t="shared" si="7"/>
        <v>738174</v>
      </c>
    </row>
    <row r="41" spans="1:22" ht="14.4" x14ac:dyDescent="0.3">
      <c r="A41" s="3">
        <f t="shared" si="8"/>
        <v>33</v>
      </c>
      <c r="B41" s="113">
        <f t="shared" si="4"/>
        <v>45639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95"/>
      <c r="L41" s="95"/>
      <c r="M41" s="217">
        <f t="shared" si="12"/>
        <v>480748</v>
      </c>
      <c r="N41" s="216">
        <f t="shared" si="12"/>
        <v>257426</v>
      </c>
      <c r="O41" s="182"/>
      <c r="P41" s="147"/>
      <c r="Q41" s="17"/>
      <c r="R41" s="17"/>
      <c r="S41" s="18">
        <f t="shared" si="13"/>
        <v>0</v>
      </c>
      <c r="T41" s="17">
        <f t="shared" si="6"/>
        <v>0</v>
      </c>
      <c r="U41" s="17">
        <f t="shared" si="3"/>
        <v>0</v>
      </c>
      <c r="V41" s="45">
        <f t="shared" si="7"/>
        <v>738174</v>
      </c>
    </row>
    <row r="42" spans="1:22" ht="14.4" x14ac:dyDescent="0.3">
      <c r="A42" s="3">
        <f t="shared" si="8"/>
        <v>34</v>
      </c>
      <c r="B42" s="113">
        <f t="shared" si="4"/>
        <v>45646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95"/>
      <c r="L42" s="95"/>
      <c r="M42" s="217">
        <f t="shared" ref="M42:N57" si="16">M41+K42</f>
        <v>480748</v>
      </c>
      <c r="N42" s="216">
        <f t="shared" si="16"/>
        <v>257426</v>
      </c>
      <c r="O42" s="182"/>
      <c r="P42" s="147"/>
      <c r="Q42" s="17"/>
      <c r="R42" s="17"/>
      <c r="S42" s="18">
        <f t="shared" si="13"/>
        <v>0</v>
      </c>
      <c r="T42" s="17">
        <f t="shared" si="6"/>
        <v>0</v>
      </c>
      <c r="U42" s="17">
        <f t="shared" si="3"/>
        <v>0</v>
      </c>
      <c r="V42" s="45">
        <f t="shared" si="7"/>
        <v>738174</v>
      </c>
    </row>
    <row r="43" spans="1:22" ht="14.4" x14ac:dyDescent="0.3">
      <c r="A43" s="3">
        <f t="shared" si="8"/>
        <v>35</v>
      </c>
      <c r="B43" s="113">
        <f t="shared" si="4"/>
        <v>45653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95"/>
      <c r="L43" s="95"/>
      <c r="M43" s="217">
        <f t="shared" si="16"/>
        <v>480748</v>
      </c>
      <c r="N43" s="216">
        <f t="shared" si="16"/>
        <v>257426</v>
      </c>
      <c r="O43" s="182"/>
      <c r="P43" s="147"/>
      <c r="Q43" s="17"/>
      <c r="R43" s="17"/>
      <c r="S43" s="18">
        <f t="shared" si="13"/>
        <v>0</v>
      </c>
      <c r="T43" s="17">
        <f t="shared" si="6"/>
        <v>0</v>
      </c>
      <c r="U43" s="17">
        <f t="shared" si="3"/>
        <v>0</v>
      </c>
      <c r="V43" s="45">
        <f t="shared" si="7"/>
        <v>738174</v>
      </c>
    </row>
    <row r="44" spans="1:22" ht="14.4" x14ac:dyDescent="0.3">
      <c r="A44" s="3">
        <f t="shared" si="8"/>
        <v>36</v>
      </c>
      <c r="B44" s="113">
        <f t="shared" si="4"/>
        <v>45660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95"/>
      <c r="L44" s="95"/>
      <c r="M44" s="217">
        <f t="shared" si="16"/>
        <v>480748</v>
      </c>
      <c r="N44" s="216">
        <f t="shared" si="16"/>
        <v>257426</v>
      </c>
      <c r="O44" s="182"/>
      <c r="P44" s="147"/>
      <c r="Q44" s="17"/>
      <c r="R44" s="17"/>
      <c r="S44" s="18">
        <f t="shared" si="13"/>
        <v>0</v>
      </c>
      <c r="T44" s="17">
        <f t="shared" si="6"/>
        <v>0</v>
      </c>
      <c r="U44" s="17">
        <f t="shared" si="3"/>
        <v>0</v>
      </c>
      <c r="V44" s="45">
        <f t="shared" si="7"/>
        <v>738174</v>
      </c>
    </row>
    <row r="45" spans="1:22" ht="14.4" x14ac:dyDescent="0.3">
      <c r="A45" s="3">
        <f t="shared" si="8"/>
        <v>37</v>
      </c>
      <c r="B45" s="113">
        <f t="shared" si="4"/>
        <v>45667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95"/>
      <c r="L45" s="95"/>
      <c r="M45" s="217">
        <f t="shared" si="16"/>
        <v>480748</v>
      </c>
      <c r="N45" s="216">
        <f t="shared" si="16"/>
        <v>257426</v>
      </c>
      <c r="O45" s="182"/>
      <c r="P45" s="147"/>
      <c r="Q45" s="17"/>
      <c r="R45" s="17"/>
      <c r="S45" s="18">
        <f t="shared" si="13"/>
        <v>0</v>
      </c>
      <c r="T45" s="17">
        <f t="shared" si="6"/>
        <v>0</v>
      </c>
      <c r="U45" s="17">
        <f t="shared" si="3"/>
        <v>0</v>
      </c>
      <c r="V45" s="45">
        <f t="shared" si="7"/>
        <v>738174</v>
      </c>
    </row>
    <row r="46" spans="1:22" ht="14.4" x14ac:dyDescent="0.3">
      <c r="A46" s="3">
        <f t="shared" si="8"/>
        <v>38</v>
      </c>
      <c r="B46" s="113">
        <f t="shared" si="4"/>
        <v>45674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95"/>
      <c r="L46" s="95"/>
      <c r="M46" s="217">
        <f t="shared" si="16"/>
        <v>480748</v>
      </c>
      <c r="N46" s="216">
        <f t="shared" si="16"/>
        <v>257426</v>
      </c>
      <c r="O46" s="182"/>
      <c r="P46" s="147"/>
      <c r="Q46" s="17"/>
      <c r="R46" s="17"/>
      <c r="S46" s="18">
        <f t="shared" si="13"/>
        <v>0</v>
      </c>
      <c r="T46" s="17">
        <f t="shared" si="6"/>
        <v>0</v>
      </c>
      <c r="U46" s="17">
        <f t="shared" si="3"/>
        <v>0</v>
      </c>
      <c r="V46" s="45">
        <f t="shared" si="7"/>
        <v>738174</v>
      </c>
    </row>
    <row r="47" spans="1:22" ht="14.4" x14ac:dyDescent="0.3">
      <c r="A47" s="3">
        <f t="shared" si="8"/>
        <v>39</v>
      </c>
      <c r="B47" s="113">
        <f t="shared" si="4"/>
        <v>45681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95"/>
      <c r="L47" s="95"/>
      <c r="M47" s="217">
        <f t="shared" si="16"/>
        <v>480748</v>
      </c>
      <c r="N47" s="216">
        <f t="shared" si="16"/>
        <v>257426</v>
      </c>
      <c r="O47" s="182"/>
      <c r="P47" s="147"/>
      <c r="Q47" s="17"/>
      <c r="R47" s="17"/>
      <c r="S47" s="18">
        <f t="shared" si="13"/>
        <v>0</v>
      </c>
      <c r="T47" s="17">
        <f t="shared" si="6"/>
        <v>0</v>
      </c>
      <c r="U47" s="17">
        <f t="shared" si="3"/>
        <v>0</v>
      </c>
      <c r="V47" s="45">
        <f t="shared" si="7"/>
        <v>738174</v>
      </c>
    </row>
    <row r="48" spans="1:22" ht="14.4" x14ac:dyDescent="0.3">
      <c r="A48" s="3">
        <f t="shared" si="8"/>
        <v>40</v>
      </c>
      <c r="B48" s="113">
        <f t="shared" si="4"/>
        <v>45688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95"/>
      <c r="L48" s="95"/>
      <c r="M48" s="217">
        <f t="shared" si="16"/>
        <v>480748</v>
      </c>
      <c r="N48" s="216">
        <f t="shared" si="16"/>
        <v>257426</v>
      </c>
      <c r="O48" s="182"/>
      <c r="P48" s="147"/>
      <c r="Q48" s="17"/>
      <c r="R48" s="17"/>
      <c r="S48" s="18">
        <f t="shared" si="13"/>
        <v>0</v>
      </c>
      <c r="T48" s="17">
        <f t="shared" si="6"/>
        <v>0</v>
      </c>
      <c r="U48" s="17">
        <f t="shared" si="3"/>
        <v>0</v>
      </c>
      <c r="V48" s="45">
        <f t="shared" si="7"/>
        <v>738174</v>
      </c>
    </row>
    <row r="49" spans="1:22" ht="14.4" x14ac:dyDescent="0.3">
      <c r="A49" s="3">
        <f t="shared" si="8"/>
        <v>41</v>
      </c>
      <c r="B49" s="113">
        <f t="shared" si="4"/>
        <v>45695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95"/>
      <c r="L49" s="95"/>
      <c r="M49" s="217">
        <f t="shared" si="16"/>
        <v>480748</v>
      </c>
      <c r="N49" s="216">
        <f t="shared" si="16"/>
        <v>257426</v>
      </c>
      <c r="O49" s="182"/>
      <c r="P49" s="147"/>
      <c r="Q49" s="17"/>
      <c r="R49" s="17"/>
      <c r="S49" s="18">
        <f t="shared" si="13"/>
        <v>0</v>
      </c>
      <c r="T49" s="17">
        <f t="shared" si="6"/>
        <v>0</v>
      </c>
      <c r="U49" s="17">
        <f t="shared" si="3"/>
        <v>0</v>
      </c>
      <c r="V49" s="45">
        <f t="shared" si="7"/>
        <v>738174</v>
      </c>
    </row>
    <row r="50" spans="1:22" ht="14.4" x14ac:dyDescent="0.3">
      <c r="A50" s="3">
        <f t="shared" si="8"/>
        <v>42</v>
      </c>
      <c r="B50" s="113">
        <f t="shared" si="4"/>
        <v>45702</v>
      </c>
      <c r="C50" s="114">
        <v>0</v>
      </c>
      <c r="D50" s="114">
        <v>0</v>
      </c>
      <c r="E50" s="61">
        <f t="shared" ref="E50:F59" si="17">+C50</f>
        <v>0</v>
      </c>
      <c r="F50" s="61">
        <f t="shared" si="17"/>
        <v>0</v>
      </c>
      <c r="G50" s="152">
        <v>0</v>
      </c>
      <c r="H50" s="153">
        <v>0</v>
      </c>
      <c r="I50" s="61">
        <f t="shared" ref="I50:J59" si="18">+G50</f>
        <v>0</v>
      </c>
      <c r="J50" s="61">
        <f t="shared" si="18"/>
        <v>0</v>
      </c>
      <c r="K50" s="95"/>
      <c r="L50" s="95"/>
      <c r="M50" s="217">
        <f t="shared" si="16"/>
        <v>480748</v>
      </c>
      <c r="N50" s="216">
        <f t="shared" si="16"/>
        <v>257426</v>
      </c>
      <c r="O50" s="182"/>
      <c r="P50" s="147"/>
      <c r="Q50" s="17"/>
      <c r="R50" s="17"/>
      <c r="S50" s="18">
        <f t="shared" si="13"/>
        <v>0</v>
      </c>
      <c r="T50" s="17">
        <f t="shared" si="6"/>
        <v>0</v>
      </c>
      <c r="U50" s="17">
        <f t="shared" si="3"/>
        <v>0</v>
      </c>
      <c r="V50" s="45">
        <f t="shared" si="7"/>
        <v>738174</v>
      </c>
    </row>
    <row r="51" spans="1:22" ht="14.4" x14ac:dyDescent="0.3">
      <c r="A51" s="3">
        <f t="shared" si="8"/>
        <v>43</v>
      </c>
      <c r="B51" s="113">
        <f t="shared" si="4"/>
        <v>45709</v>
      </c>
      <c r="C51" s="114">
        <v>0</v>
      </c>
      <c r="D51" s="114">
        <v>0</v>
      </c>
      <c r="E51" s="61">
        <f t="shared" si="17"/>
        <v>0</v>
      </c>
      <c r="F51" s="61">
        <f t="shared" si="17"/>
        <v>0</v>
      </c>
      <c r="G51" s="152">
        <v>0</v>
      </c>
      <c r="H51" s="153">
        <v>0</v>
      </c>
      <c r="I51" s="61">
        <f t="shared" si="18"/>
        <v>0</v>
      </c>
      <c r="J51" s="61">
        <f t="shared" si="18"/>
        <v>0</v>
      </c>
      <c r="K51" s="95"/>
      <c r="L51" s="95"/>
      <c r="M51" s="217">
        <f t="shared" si="16"/>
        <v>480748</v>
      </c>
      <c r="N51" s="216">
        <f t="shared" si="16"/>
        <v>257426</v>
      </c>
      <c r="O51" s="182"/>
      <c r="P51" s="147"/>
      <c r="Q51" s="17"/>
      <c r="R51" s="17"/>
      <c r="S51" s="18">
        <f t="shared" si="13"/>
        <v>0</v>
      </c>
      <c r="T51" s="17">
        <f t="shared" si="6"/>
        <v>0</v>
      </c>
      <c r="U51" s="17">
        <f t="shared" si="3"/>
        <v>0</v>
      </c>
      <c r="V51" s="45">
        <f t="shared" si="7"/>
        <v>738174</v>
      </c>
    </row>
    <row r="52" spans="1:22" ht="14.4" x14ac:dyDescent="0.3">
      <c r="A52" s="3">
        <f t="shared" si="8"/>
        <v>44</v>
      </c>
      <c r="B52" s="113">
        <f t="shared" si="4"/>
        <v>45716</v>
      </c>
      <c r="C52" s="114">
        <v>0</v>
      </c>
      <c r="D52" s="114">
        <v>0</v>
      </c>
      <c r="E52" s="61">
        <f t="shared" si="17"/>
        <v>0</v>
      </c>
      <c r="F52" s="61">
        <f t="shared" si="17"/>
        <v>0</v>
      </c>
      <c r="G52" s="152">
        <v>0</v>
      </c>
      <c r="H52" s="153">
        <v>0</v>
      </c>
      <c r="I52" s="61">
        <f t="shared" si="18"/>
        <v>0</v>
      </c>
      <c r="J52" s="61">
        <f t="shared" si="18"/>
        <v>0</v>
      </c>
      <c r="K52" s="95"/>
      <c r="L52" s="95"/>
      <c r="M52" s="217">
        <f t="shared" si="16"/>
        <v>480748</v>
      </c>
      <c r="N52" s="216">
        <f t="shared" si="16"/>
        <v>257426</v>
      </c>
      <c r="O52" s="182"/>
      <c r="P52" s="147"/>
      <c r="Q52" s="17"/>
      <c r="R52" s="17"/>
      <c r="S52" s="18">
        <f t="shared" si="13"/>
        <v>0</v>
      </c>
      <c r="T52" s="17">
        <f t="shared" si="6"/>
        <v>0</v>
      </c>
      <c r="U52" s="17">
        <f t="shared" si="3"/>
        <v>0</v>
      </c>
      <c r="V52" s="45">
        <f t="shared" si="7"/>
        <v>738174</v>
      </c>
    </row>
    <row r="53" spans="1:22" ht="14.4" x14ac:dyDescent="0.3">
      <c r="A53" s="3">
        <f t="shared" si="8"/>
        <v>45</v>
      </c>
      <c r="B53" s="113">
        <f t="shared" si="4"/>
        <v>45723</v>
      </c>
      <c r="C53" s="114">
        <v>0</v>
      </c>
      <c r="D53" s="114">
        <v>0</v>
      </c>
      <c r="E53" s="61">
        <f t="shared" si="17"/>
        <v>0</v>
      </c>
      <c r="F53" s="61">
        <f t="shared" si="17"/>
        <v>0</v>
      </c>
      <c r="G53" s="152">
        <v>0</v>
      </c>
      <c r="H53" s="153">
        <v>0</v>
      </c>
      <c r="I53" s="61">
        <f t="shared" si="18"/>
        <v>0</v>
      </c>
      <c r="J53" s="61">
        <f t="shared" si="18"/>
        <v>0</v>
      </c>
      <c r="K53" s="95"/>
      <c r="L53" s="95"/>
      <c r="M53" s="217">
        <f t="shared" si="16"/>
        <v>480748</v>
      </c>
      <c r="N53" s="216">
        <f t="shared" si="16"/>
        <v>257426</v>
      </c>
      <c r="O53" s="182"/>
      <c r="P53" s="147"/>
      <c r="Q53" s="17"/>
      <c r="R53" s="17"/>
      <c r="S53" s="18">
        <f t="shared" si="13"/>
        <v>0</v>
      </c>
      <c r="T53" s="17">
        <f t="shared" si="6"/>
        <v>0</v>
      </c>
      <c r="U53" s="17">
        <f t="shared" si="3"/>
        <v>0</v>
      </c>
      <c r="V53" s="45">
        <f t="shared" si="7"/>
        <v>738174</v>
      </c>
    </row>
    <row r="54" spans="1:22" ht="14.4" x14ac:dyDescent="0.3">
      <c r="A54" s="3">
        <f t="shared" si="8"/>
        <v>46</v>
      </c>
      <c r="B54" s="113">
        <f t="shared" si="4"/>
        <v>45730</v>
      </c>
      <c r="C54" s="114">
        <v>0</v>
      </c>
      <c r="D54" s="114">
        <v>0</v>
      </c>
      <c r="E54" s="61">
        <f t="shared" si="17"/>
        <v>0</v>
      </c>
      <c r="F54" s="61">
        <f t="shared" si="17"/>
        <v>0</v>
      </c>
      <c r="G54" s="152">
        <v>0</v>
      </c>
      <c r="H54" s="153">
        <v>0</v>
      </c>
      <c r="I54" s="61">
        <f t="shared" si="18"/>
        <v>0</v>
      </c>
      <c r="J54" s="61">
        <f t="shared" si="18"/>
        <v>0</v>
      </c>
      <c r="K54" s="95"/>
      <c r="L54" s="95"/>
      <c r="M54" s="217">
        <f t="shared" si="16"/>
        <v>480748</v>
      </c>
      <c r="N54" s="216">
        <f t="shared" si="16"/>
        <v>257426</v>
      </c>
      <c r="O54" s="182"/>
      <c r="P54" s="147"/>
      <c r="Q54" s="17"/>
      <c r="R54" s="17"/>
      <c r="S54" s="18">
        <f t="shared" si="13"/>
        <v>0</v>
      </c>
      <c r="T54" s="17">
        <f t="shared" si="6"/>
        <v>0</v>
      </c>
      <c r="U54" s="17">
        <f t="shared" si="3"/>
        <v>0</v>
      </c>
      <c r="V54" s="45">
        <f t="shared" si="7"/>
        <v>738174</v>
      </c>
    </row>
    <row r="55" spans="1:22" ht="14.4" x14ac:dyDescent="0.3">
      <c r="A55" s="3">
        <f t="shared" si="8"/>
        <v>47</v>
      </c>
      <c r="B55" s="113">
        <f t="shared" si="4"/>
        <v>45737</v>
      </c>
      <c r="C55" s="114">
        <v>0</v>
      </c>
      <c r="D55" s="114">
        <v>0</v>
      </c>
      <c r="E55" s="61">
        <f t="shared" si="17"/>
        <v>0</v>
      </c>
      <c r="F55" s="61">
        <f t="shared" si="17"/>
        <v>0</v>
      </c>
      <c r="G55" s="152">
        <v>0</v>
      </c>
      <c r="H55" s="153">
        <v>0</v>
      </c>
      <c r="I55" s="61">
        <f t="shared" si="18"/>
        <v>0</v>
      </c>
      <c r="J55" s="61">
        <f t="shared" si="18"/>
        <v>0</v>
      </c>
      <c r="K55" s="95"/>
      <c r="L55" s="95"/>
      <c r="M55" s="217">
        <f t="shared" si="16"/>
        <v>480748</v>
      </c>
      <c r="N55" s="216">
        <f t="shared" si="16"/>
        <v>257426</v>
      </c>
      <c r="O55" s="182"/>
      <c r="P55" s="147"/>
      <c r="Q55" s="17"/>
      <c r="R55" s="17"/>
      <c r="S55" s="18">
        <f t="shared" si="13"/>
        <v>0</v>
      </c>
      <c r="T55" s="17">
        <f t="shared" si="6"/>
        <v>0</v>
      </c>
      <c r="U55" s="17">
        <f t="shared" si="3"/>
        <v>0</v>
      </c>
      <c r="V55" s="45">
        <f t="shared" si="7"/>
        <v>738174</v>
      </c>
    </row>
    <row r="56" spans="1:22" ht="14.4" x14ac:dyDescent="0.3">
      <c r="A56" s="3">
        <f t="shared" si="8"/>
        <v>48</v>
      </c>
      <c r="B56" s="113">
        <f t="shared" si="4"/>
        <v>45744</v>
      </c>
      <c r="C56" s="114">
        <v>0</v>
      </c>
      <c r="D56" s="114">
        <v>0</v>
      </c>
      <c r="E56" s="61">
        <f t="shared" si="17"/>
        <v>0</v>
      </c>
      <c r="F56" s="61">
        <f t="shared" si="17"/>
        <v>0</v>
      </c>
      <c r="G56" s="152">
        <v>0</v>
      </c>
      <c r="H56" s="153">
        <v>0</v>
      </c>
      <c r="I56" s="61">
        <f t="shared" si="18"/>
        <v>0</v>
      </c>
      <c r="J56" s="61">
        <f t="shared" si="18"/>
        <v>0</v>
      </c>
      <c r="K56" s="95"/>
      <c r="L56" s="95"/>
      <c r="M56" s="217">
        <f t="shared" si="16"/>
        <v>480748</v>
      </c>
      <c r="N56" s="216">
        <f t="shared" si="16"/>
        <v>257426</v>
      </c>
      <c r="O56" s="182"/>
      <c r="P56" s="147"/>
      <c r="Q56" s="17"/>
      <c r="R56" s="17"/>
      <c r="S56" s="18">
        <f t="shared" si="13"/>
        <v>0</v>
      </c>
      <c r="T56" s="17">
        <f t="shared" si="6"/>
        <v>0</v>
      </c>
      <c r="U56" s="17">
        <f t="shared" si="3"/>
        <v>0</v>
      </c>
      <c r="V56" s="45">
        <f t="shared" si="7"/>
        <v>738174</v>
      </c>
    </row>
    <row r="57" spans="1:22" ht="14.4" x14ac:dyDescent="0.3">
      <c r="A57" s="3">
        <f t="shared" si="8"/>
        <v>49</v>
      </c>
      <c r="B57" s="113">
        <f t="shared" si="4"/>
        <v>45751</v>
      </c>
      <c r="C57" s="114">
        <v>0</v>
      </c>
      <c r="D57" s="114">
        <v>0</v>
      </c>
      <c r="E57" s="61">
        <f t="shared" si="17"/>
        <v>0</v>
      </c>
      <c r="F57" s="61">
        <f t="shared" si="17"/>
        <v>0</v>
      </c>
      <c r="G57" s="152">
        <v>0</v>
      </c>
      <c r="H57" s="153">
        <v>0</v>
      </c>
      <c r="I57" s="61">
        <f t="shared" si="18"/>
        <v>0</v>
      </c>
      <c r="J57" s="61">
        <f t="shared" si="18"/>
        <v>0</v>
      </c>
      <c r="K57" s="95"/>
      <c r="L57" s="95"/>
      <c r="M57" s="217">
        <f t="shared" si="16"/>
        <v>480748</v>
      </c>
      <c r="N57" s="216">
        <f t="shared" si="16"/>
        <v>257426</v>
      </c>
      <c r="O57" s="182"/>
      <c r="P57" s="147"/>
      <c r="Q57" s="17"/>
      <c r="R57" s="17"/>
      <c r="S57" s="18">
        <f t="shared" si="13"/>
        <v>0</v>
      </c>
      <c r="T57" s="17">
        <f>K57+L57</f>
        <v>0</v>
      </c>
      <c r="U57" s="17">
        <f t="shared" si="3"/>
        <v>0</v>
      </c>
      <c r="V57" s="45">
        <f t="shared" si="7"/>
        <v>738174</v>
      </c>
    </row>
    <row r="58" spans="1:22" ht="14.4" x14ac:dyDescent="0.3">
      <c r="A58" s="3">
        <f t="shared" si="8"/>
        <v>50</v>
      </c>
      <c r="B58" s="113">
        <f t="shared" si="4"/>
        <v>45758</v>
      </c>
      <c r="C58" s="114">
        <v>0</v>
      </c>
      <c r="D58" s="114">
        <v>0</v>
      </c>
      <c r="E58" s="61">
        <f t="shared" si="17"/>
        <v>0</v>
      </c>
      <c r="F58" s="61">
        <f t="shared" si="17"/>
        <v>0</v>
      </c>
      <c r="G58" s="152">
        <v>0</v>
      </c>
      <c r="H58" s="153">
        <v>0</v>
      </c>
      <c r="I58" s="61">
        <f t="shared" si="18"/>
        <v>0</v>
      </c>
      <c r="J58" s="61">
        <f t="shared" si="18"/>
        <v>0</v>
      </c>
      <c r="K58" s="95"/>
      <c r="L58" s="95"/>
      <c r="M58" s="217">
        <f t="shared" ref="M58:N60" si="19">M57+K58</f>
        <v>480748</v>
      </c>
      <c r="N58" s="216">
        <f t="shared" si="19"/>
        <v>257426</v>
      </c>
      <c r="O58" s="182"/>
      <c r="P58" s="147"/>
      <c r="Q58" s="17"/>
      <c r="R58" s="17"/>
      <c r="S58" s="18">
        <f t="shared" si="13"/>
        <v>0</v>
      </c>
      <c r="T58" s="17">
        <f t="shared" si="6"/>
        <v>0</v>
      </c>
      <c r="U58" s="17">
        <f t="shared" si="3"/>
        <v>0</v>
      </c>
      <c r="V58" s="45">
        <f t="shared" si="7"/>
        <v>738174</v>
      </c>
    </row>
    <row r="59" spans="1:22" ht="14.4" x14ac:dyDescent="0.3">
      <c r="A59" s="3">
        <f t="shared" si="8"/>
        <v>51</v>
      </c>
      <c r="B59" s="113">
        <f t="shared" si="4"/>
        <v>45765</v>
      </c>
      <c r="C59" s="114">
        <v>0</v>
      </c>
      <c r="D59" s="114">
        <v>0</v>
      </c>
      <c r="E59" s="61">
        <f t="shared" si="17"/>
        <v>0</v>
      </c>
      <c r="F59" s="61">
        <f t="shared" si="17"/>
        <v>0</v>
      </c>
      <c r="G59" s="152">
        <v>0</v>
      </c>
      <c r="H59" s="153">
        <v>0</v>
      </c>
      <c r="I59" s="61">
        <f t="shared" si="18"/>
        <v>0</v>
      </c>
      <c r="J59" s="61">
        <f t="shared" si="18"/>
        <v>0</v>
      </c>
      <c r="K59" s="208"/>
      <c r="L59" s="209"/>
      <c r="M59" s="217">
        <f t="shared" si="19"/>
        <v>480748</v>
      </c>
      <c r="N59" s="216">
        <f t="shared" si="19"/>
        <v>257426</v>
      </c>
      <c r="O59" s="182"/>
      <c r="P59" s="147"/>
      <c r="Q59" s="17"/>
      <c r="R59" s="17"/>
      <c r="S59" s="18">
        <f t="shared" si="13"/>
        <v>0</v>
      </c>
      <c r="T59" s="17">
        <f t="shared" si="6"/>
        <v>0</v>
      </c>
      <c r="U59" s="17">
        <f t="shared" si="3"/>
        <v>0</v>
      </c>
      <c r="V59" s="45">
        <f t="shared" si="7"/>
        <v>738174</v>
      </c>
    </row>
    <row r="60" spans="1:22" ht="14.4" x14ac:dyDescent="0.3">
      <c r="A60" s="3">
        <f t="shared" si="8"/>
        <v>52</v>
      </c>
      <c r="B60" s="113">
        <f t="shared" si="4"/>
        <v>45772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208"/>
      <c r="L60" s="95"/>
      <c r="M60" s="217">
        <f t="shared" si="19"/>
        <v>480748</v>
      </c>
      <c r="N60" s="216">
        <f t="shared" si="19"/>
        <v>257426</v>
      </c>
      <c r="O60" s="182"/>
      <c r="P60" s="147"/>
      <c r="Q60" s="17"/>
      <c r="R60" s="17"/>
      <c r="S60" s="18">
        <f t="shared" si="13"/>
        <v>0</v>
      </c>
      <c r="T60" s="17">
        <f t="shared" si="6"/>
        <v>0</v>
      </c>
      <c r="U60" s="17">
        <f t="shared" si="3"/>
        <v>0</v>
      </c>
      <c r="V60" s="45">
        <f t="shared" si="7"/>
        <v>738174</v>
      </c>
    </row>
    <row r="61" spans="1:22" ht="15" thickBot="1" x14ac:dyDescent="0.35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210"/>
      <c r="L61" s="210"/>
      <c r="M61" s="218">
        <f>M60+K61</f>
        <v>480748</v>
      </c>
      <c r="N61" s="219">
        <f>N60+L61</f>
        <v>257426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738174</v>
      </c>
    </row>
    <row r="62" spans="1:22" x14ac:dyDescent="0.25">
      <c r="B62" s="44"/>
      <c r="E62" s="62"/>
      <c r="F62" s="62"/>
      <c r="G62" s="62"/>
      <c r="H62" s="62"/>
      <c r="I62" s="62"/>
      <c r="J62" s="62"/>
      <c r="M62" s="216"/>
      <c r="N62" s="216"/>
      <c r="O62" s="18"/>
      <c r="P62" s="18"/>
      <c r="Q62" s="18"/>
      <c r="R62" s="18"/>
      <c r="S62" s="18"/>
      <c r="T62" s="18"/>
      <c r="U62" s="18"/>
      <c r="V62" s="18"/>
    </row>
    <row r="63" spans="1:22" x14ac:dyDescent="0.25">
      <c r="B63" s="44"/>
    </row>
    <row r="64" spans="1:22" x14ac:dyDescent="0.25">
      <c r="B64" s="44"/>
    </row>
    <row r="65" spans="2:11" x14ac:dyDescent="0.25">
      <c r="B65" s="44"/>
    </row>
    <row r="66" spans="2:11" x14ac:dyDescent="0.25">
      <c r="B66" s="44"/>
    </row>
    <row r="67" spans="2:11" x14ac:dyDescent="0.25">
      <c r="B67" s="44"/>
    </row>
    <row r="68" spans="2:11" x14ac:dyDescent="0.25">
      <c r="B68" s="44"/>
    </row>
    <row r="69" spans="2:11" x14ac:dyDescent="0.25">
      <c r="B69" s="44"/>
      <c r="K69" s="211"/>
    </row>
    <row r="70" spans="2:11" x14ac:dyDescent="0.25">
      <c r="B70" s="44"/>
    </row>
    <row r="71" spans="2:11" x14ac:dyDescent="0.25">
      <c r="B71" s="44"/>
    </row>
    <row r="72" spans="2:11" x14ac:dyDescent="0.25">
      <c r="B72" s="44"/>
    </row>
    <row r="73" spans="2:11" x14ac:dyDescent="0.25">
      <c r="B73" s="44"/>
    </row>
    <row r="74" spans="2:11" x14ac:dyDescent="0.25">
      <c r="B74" s="44"/>
    </row>
    <row r="75" spans="2:11" x14ac:dyDescent="0.25">
      <c r="B75" s="44"/>
    </row>
    <row r="76" spans="2:11" x14ac:dyDescent="0.25">
      <c r="B76" s="44"/>
    </row>
    <row r="77" spans="2:11" x14ac:dyDescent="0.25">
      <c r="B77" s="44"/>
    </row>
    <row r="78" spans="2:11" x14ac:dyDescent="0.25">
      <c r="B78" s="19"/>
    </row>
    <row r="79" spans="2:11" x14ac:dyDescent="0.25">
      <c r="B79" s="19"/>
    </row>
    <row r="80" spans="2:11" x14ac:dyDescent="0.25">
      <c r="B80" s="19"/>
    </row>
    <row r="81" spans="2:2" x14ac:dyDescent="0.25">
      <c r="B81" s="19"/>
    </row>
    <row r="82" spans="2:2" x14ac:dyDescent="0.25">
      <c r="B82" s="19"/>
    </row>
    <row r="83" spans="2:2" x14ac:dyDescent="0.25">
      <c r="B83" s="19"/>
    </row>
    <row r="84" spans="2:2" x14ac:dyDescent="0.25">
      <c r="B84" s="19"/>
    </row>
    <row r="85" spans="2:2" x14ac:dyDescent="0.25">
      <c r="B85" s="19"/>
    </row>
    <row r="86" spans="2:2" x14ac:dyDescent="0.25">
      <c r="B86" s="19"/>
    </row>
    <row r="87" spans="2:2" x14ac:dyDescent="0.25">
      <c r="B87" s="19"/>
    </row>
    <row r="88" spans="2:2" x14ac:dyDescent="0.25">
      <c r="B88" s="19"/>
    </row>
    <row r="89" spans="2:2" x14ac:dyDescent="0.25">
      <c r="B89" s="19"/>
    </row>
    <row r="90" spans="2:2" x14ac:dyDescent="0.25">
      <c r="B90" s="19"/>
    </row>
    <row r="91" spans="2:2" x14ac:dyDescent="0.25">
      <c r="B91" s="19"/>
    </row>
    <row r="92" spans="2:2" x14ac:dyDescent="0.25">
      <c r="B92" s="19"/>
    </row>
    <row r="93" spans="2:2" x14ac:dyDescent="0.25">
      <c r="B93" s="19"/>
    </row>
    <row r="94" spans="2:2" x14ac:dyDescent="0.25">
      <c r="B94" s="19"/>
    </row>
    <row r="95" spans="2:2" x14ac:dyDescent="0.25">
      <c r="B95" s="19"/>
    </row>
    <row r="96" spans="2:2" x14ac:dyDescent="0.25">
      <c r="B96" s="19"/>
    </row>
    <row r="97" spans="2:2" x14ac:dyDescent="0.25">
      <c r="B97" s="19"/>
    </row>
    <row r="98" spans="2:2" x14ac:dyDescent="0.25">
      <c r="B98" s="19"/>
    </row>
    <row r="99" spans="2:2" x14ac:dyDescent="0.25">
      <c r="B99" s="19"/>
    </row>
    <row r="100" spans="2:2" x14ac:dyDescent="0.25">
      <c r="B100" s="19"/>
    </row>
    <row r="101" spans="2:2" x14ac:dyDescent="0.25">
      <c r="B101" s="19"/>
    </row>
    <row r="102" spans="2:2" x14ac:dyDescent="0.25">
      <c r="B102" s="19"/>
    </row>
    <row r="103" spans="2:2" x14ac:dyDescent="0.25">
      <c r="B103" s="19"/>
    </row>
    <row r="104" spans="2:2" x14ac:dyDescent="0.25">
      <c r="B104" s="19"/>
    </row>
    <row r="105" spans="2:2" x14ac:dyDescent="0.25">
      <c r="B105" s="19"/>
    </row>
    <row r="106" spans="2:2" x14ac:dyDescent="0.25">
      <c r="B106" s="19"/>
    </row>
    <row r="107" spans="2:2" x14ac:dyDescent="0.25">
      <c r="B107" s="19"/>
    </row>
    <row r="108" spans="2:2" x14ac:dyDescent="0.25">
      <c r="B108" s="19"/>
    </row>
    <row r="109" spans="2:2" x14ac:dyDescent="0.25">
      <c r="B109" s="19"/>
    </row>
    <row r="110" spans="2:2" x14ac:dyDescent="0.25">
      <c r="B110" s="19"/>
    </row>
    <row r="111" spans="2:2" x14ac:dyDescent="0.25">
      <c r="B111" s="19"/>
    </row>
    <row r="112" spans="2:2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  <row r="1883" spans="2:2" x14ac:dyDescent="0.25">
      <c r="B1883" s="19"/>
    </row>
    <row r="1884" spans="2:2" x14ac:dyDescent="0.25">
      <c r="B1884" s="19"/>
    </row>
    <row r="1885" spans="2:2" x14ac:dyDescent="0.25">
      <c r="B1885" s="19"/>
    </row>
    <row r="1886" spans="2:2" x14ac:dyDescent="0.25">
      <c r="B1886" s="19"/>
    </row>
    <row r="1887" spans="2:2" x14ac:dyDescent="0.25">
      <c r="B1887" s="19"/>
    </row>
    <row r="1888" spans="2:2" x14ac:dyDescent="0.25">
      <c r="B1888" s="19"/>
    </row>
    <row r="1889" spans="2:2" x14ac:dyDescent="0.25">
      <c r="B1889" s="19"/>
    </row>
    <row r="1890" spans="2:2" x14ac:dyDescent="0.25">
      <c r="B1890" s="19"/>
    </row>
    <row r="1891" spans="2:2" x14ac:dyDescent="0.25">
      <c r="B1891" s="19"/>
    </row>
    <row r="1892" spans="2:2" x14ac:dyDescent="0.25">
      <c r="B1892" s="19"/>
    </row>
    <row r="1893" spans="2:2" x14ac:dyDescent="0.25">
      <c r="B1893" s="19"/>
    </row>
    <row r="1894" spans="2:2" x14ac:dyDescent="0.25">
      <c r="B1894" s="19"/>
    </row>
    <row r="1895" spans="2:2" x14ac:dyDescent="0.25">
      <c r="B1895" s="19"/>
    </row>
    <row r="1896" spans="2:2" x14ac:dyDescent="0.25">
      <c r="B1896" s="19"/>
    </row>
    <row r="1897" spans="2:2" x14ac:dyDescent="0.25">
      <c r="B1897" s="19"/>
    </row>
    <row r="1898" spans="2:2" x14ac:dyDescent="0.25">
      <c r="B1898" s="19"/>
    </row>
    <row r="1899" spans="2:2" x14ac:dyDescent="0.25">
      <c r="B1899" s="19"/>
    </row>
    <row r="1900" spans="2:2" x14ac:dyDescent="0.25">
      <c r="B1900" s="19"/>
    </row>
    <row r="1901" spans="2:2" x14ac:dyDescent="0.25">
      <c r="B1901" s="19"/>
    </row>
    <row r="1902" spans="2:2" x14ac:dyDescent="0.25">
      <c r="B1902" s="19"/>
    </row>
    <row r="1903" spans="2:2" x14ac:dyDescent="0.25">
      <c r="B1903" s="19"/>
    </row>
    <row r="1904" spans="2:2" x14ac:dyDescent="0.25">
      <c r="B1904" s="19"/>
    </row>
    <row r="1905" spans="2:2" x14ac:dyDescent="0.25">
      <c r="B1905" s="19"/>
    </row>
    <row r="1906" spans="2:2" x14ac:dyDescent="0.25">
      <c r="B1906" s="19"/>
    </row>
    <row r="1907" spans="2:2" x14ac:dyDescent="0.25">
      <c r="B1907" s="19"/>
    </row>
    <row r="1908" spans="2:2" x14ac:dyDescent="0.25">
      <c r="B1908" s="19"/>
    </row>
    <row r="1909" spans="2:2" x14ac:dyDescent="0.25">
      <c r="B1909" s="19"/>
    </row>
    <row r="1910" spans="2:2" x14ac:dyDescent="0.25">
      <c r="B1910" s="19"/>
    </row>
    <row r="1911" spans="2:2" x14ac:dyDescent="0.25">
      <c r="B1911" s="19"/>
    </row>
    <row r="1912" spans="2:2" x14ac:dyDescent="0.25">
      <c r="B1912" s="19"/>
    </row>
    <row r="1913" spans="2:2" x14ac:dyDescent="0.25">
      <c r="B1913" s="19"/>
    </row>
    <row r="1914" spans="2:2" x14ac:dyDescent="0.25">
      <c r="B1914" s="19"/>
    </row>
    <row r="1915" spans="2:2" x14ac:dyDescent="0.25">
      <c r="B1915" s="19"/>
    </row>
    <row r="1916" spans="2:2" x14ac:dyDescent="0.25">
      <c r="B1916" s="19"/>
    </row>
    <row r="1917" spans="2:2" x14ac:dyDescent="0.25">
      <c r="B1917" s="19"/>
    </row>
    <row r="1918" spans="2:2" x14ac:dyDescent="0.25">
      <c r="B1918" s="19"/>
    </row>
    <row r="1919" spans="2:2" x14ac:dyDescent="0.25">
      <c r="B1919" s="19"/>
    </row>
    <row r="1920" spans="2:2" x14ac:dyDescent="0.25">
      <c r="B1920" s="19"/>
    </row>
    <row r="1921" spans="2:2" x14ac:dyDescent="0.25">
      <c r="B1921" s="19"/>
    </row>
    <row r="1922" spans="2:2" x14ac:dyDescent="0.25">
      <c r="B1922" s="19"/>
    </row>
    <row r="1923" spans="2:2" x14ac:dyDescent="0.25">
      <c r="B1923" s="19"/>
    </row>
    <row r="1924" spans="2:2" x14ac:dyDescent="0.25">
      <c r="B1924" s="19"/>
    </row>
    <row r="1925" spans="2:2" x14ac:dyDescent="0.25">
      <c r="B1925" s="19"/>
    </row>
    <row r="1926" spans="2:2" x14ac:dyDescent="0.25">
      <c r="B1926" s="19"/>
    </row>
    <row r="1927" spans="2:2" x14ac:dyDescent="0.25">
      <c r="B1927" s="19"/>
    </row>
    <row r="1928" spans="2:2" x14ac:dyDescent="0.25">
      <c r="B1928" s="19"/>
    </row>
    <row r="1929" spans="2:2" x14ac:dyDescent="0.25">
      <c r="B1929" s="19"/>
    </row>
    <row r="1930" spans="2:2" x14ac:dyDescent="0.25">
      <c r="B1930" s="19"/>
    </row>
    <row r="1931" spans="2:2" x14ac:dyDescent="0.25">
      <c r="B1931" s="19"/>
    </row>
    <row r="1932" spans="2:2" x14ac:dyDescent="0.25">
      <c r="B1932" s="19"/>
    </row>
    <row r="1933" spans="2:2" x14ac:dyDescent="0.25">
      <c r="B1933" s="19"/>
    </row>
    <row r="1934" spans="2:2" x14ac:dyDescent="0.25">
      <c r="B1934" s="19"/>
    </row>
    <row r="1935" spans="2:2" x14ac:dyDescent="0.25">
      <c r="B1935" s="19"/>
    </row>
    <row r="1936" spans="2:2" x14ac:dyDescent="0.25">
      <c r="B1936" s="19"/>
    </row>
    <row r="1937" spans="2:2" x14ac:dyDescent="0.25">
      <c r="B1937" s="19"/>
    </row>
    <row r="1938" spans="2:2" x14ac:dyDescent="0.25">
      <c r="B1938" s="19"/>
    </row>
    <row r="1939" spans="2:2" x14ac:dyDescent="0.25">
      <c r="B1939" s="19"/>
    </row>
    <row r="1940" spans="2:2" x14ac:dyDescent="0.25">
      <c r="B1940" s="19"/>
    </row>
    <row r="1941" spans="2:2" x14ac:dyDescent="0.25">
      <c r="B1941" s="19"/>
    </row>
    <row r="1942" spans="2:2" x14ac:dyDescent="0.25">
      <c r="B1942" s="19"/>
    </row>
    <row r="1943" spans="2:2" x14ac:dyDescent="0.25">
      <c r="B1943" s="19"/>
    </row>
    <row r="1944" spans="2:2" x14ac:dyDescent="0.25">
      <c r="B1944" s="19"/>
    </row>
    <row r="1945" spans="2:2" x14ac:dyDescent="0.25">
      <c r="B1945" s="19"/>
    </row>
    <row r="1946" spans="2:2" x14ac:dyDescent="0.25">
      <c r="B1946" s="19"/>
    </row>
    <row r="1947" spans="2:2" x14ac:dyDescent="0.25">
      <c r="B1947" s="19"/>
    </row>
    <row r="1948" spans="2:2" x14ac:dyDescent="0.25">
      <c r="B1948" s="19"/>
    </row>
    <row r="1949" spans="2:2" x14ac:dyDescent="0.25">
      <c r="B1949" s="19"/>
    </row>
    <row r="1950" spans="2:2" x14ac:dyDescent="0.25">
      <c r="B1950" s="19"/>
    </row>
    <row r="1951" spans="2:2" x14ac:dyDescent="0.25">
      <c r="B1951" s="19"/>
    </row>
    <row r="1952" spans="2:2" x14ac:dyDescent="0.25">
      <c r="B1952" s="19"/>
    </row>
    <row r="1953" spans="2:2" x14ac:dyDescent="0.25">
      <c r="B1953" s="19"/>
    </row>
    <row r="1954" spans="2:2" x14ac:dyDescent="0.25">
      <c r="B1954" s="19"/>
    </row>
    <row r="1955" spans="2:2" x14ac:dyDescent="0.25">
      <c r="B1955" s="19"/>
    </row>
    <row r="1956" spans="2:2" x14ac:dyDescent="0.25">
      <c r="B1956" s="19"/>
    </row>
    <row r="1957" spans="2:2" x14ac:dyDescent="0.25">
      <c r="B1957" s="19"/>
    </row>
    <row r="1958" spans="2:2" x14ac:dyDescent="0.25">
      <c r="B1958" s="19"/>
    </row>
    <row r="1959" spans="2:2" x14ac:dyDescent="0.25">
      <c r="B1959" s="19"/>
    </row>
    <row r="1960" spans="2:2" x14ac:dyDescent="0.25">
      <c r="B1960" s="19"/>
    </row>
    <row r="1961" spans="2:2" x14ac:dyDescent="0.25">
      <c r="B1961" s="19"/>
    </row>
    <row r="1962" spans="2:2" x14ac:dyDescent="0.25">
      <c r="B1962" s="19"/>
    </row>
    <row r="1963" spans="2:2" x14ac:dyDescent="0.25">
      <c r="B1963" s="19"/>
    </row>
    <row r="1964" spans="2:2" x14ac:dyDescent="0.25">
      <c r="B1964" s="19"/>
    </row>
    <row r="1965" spans="2:2" x14ac:dyDescent="0.25">
      <c r="B1965" s="19"/>
    </row>
    <row r="1966" spans="2:2" x14ac:dyDescent="0.25">
      <c r="B1966" s="19"/>
    </row>
    <row r="1967" spans="2:2" x14ac:dyDescent="0.25">
      <c r="B1967" s="19"/>
    </row>
    <row r="1968" spans="2:2" x14ac:dyDescent="0.25">
      <c r="B1968" s="19"/>
    </row>
    <row r="1969" spans="2:2" x14ac:dyDescent="0.25">
      <c r="B1969" s="19"/>
    </row>
    <row r="1970" spans="2:2" x14ac:dyDescent="0.25">
      <c r="B1970" s="19"/>
    </row>
    <row r="1971" spans="2:2" x14ac:dyDescent="0.25">
      <c r="B1971" s="19"/>
    </row>
    <row r="1972" spans="2:2" x14ac:dyDescent="0.25">
      <c r="B1972" s="19"/>
    </row>
    <row r="1973" spans="2:2" x14ac:dyDescent="0.25">
      <c r="B1973" s="19"/>
    </row>
    <row r="1974" spans="2:2" x14ac:dyDescent="0.25">
      <c r="B1974" s="19"/>
    </row>
    <row r="1975" spans="2:2" x14ac:dyDescent="0.25">
      <c r="B1975" s="19"/>
    </row>
    <row r="1976" spans="2:2" x14ac:dyDescent="0.25">
      <c r="B1976" s="19"/>
    </row>
    <row r="1977" spans="2:2" x14ac:dyDescent="0.25">
      <c r="B1977" s="19"/>
    </row>
    <row r="1978" spans="2:2" x14ac:dyDescent="0.25">
      <c r="B1978" s="19"/>
    </row>
    <row r="1979" spans="2:2" x14ac:dyDescent="0.25">
      <c r="B1979" s="19"/>
    </row>
    <row r="1980" spans="2:2" x14ac:dyDescent="0.25">
      <c r="B1980" s="19"/>
    </row>
    <row r="1981" spans="2:2" x14ac:dyDescent="0.25">
      <c r="B1981" s="19"/>
    </row>
    <row r="1982" spans="2:2" x14ac:dyDescent="0.25">
      <c r="B1982" s="19"/>
    </row>
    <row r="1983" spans="2:2" x14ac:dyDescent="0.25">
      <c r="B1983" s="19"/>
    </row>
    <row r="1984" spans="2:2" x14ac:dyDescent="0.25">
      <c r="B1984" s="19"/>
    </row>
    <row r="1985" spans="2:2" x14ac:dyDescent="0.25">
      <c r="B1985" s="19"/>
    </row>
    <row r="1986" spans="2:2" x14ac:dyDescent="0.25">
      <c r="B1986" s="19"/>
    </row>
    <row r="1987" spans="2:2" x14ac:dyDescent="0.25">
      <c r="B1987" s="19"/>
    </row>
    <row r="1988" spans="2:2" x14ac:dyDescent="0.25">
      <c r="B1988" s="19"/>
    </row>
    <row r="1989" spans="2:2" x14ac:dyDescent="0.25">
      <c r="B1989" s="19"/>
    </row>
    <row r="1990" spans="2:2" x14ac:dyDescent="0.25">
      <c r="B1990" s="19"/>
    </row>
    <row r="1991" spans="2:2" x14ac:dyDescent="0.25">
      <c r="B1991" s="19"/>
    </row>
    <row r="1992" spans="2:2" x14ac:dyDescent="0.25">
      <c r="B1992" s="19"/>
    </row>
    <row r="1993" spans="2:2" x14ac:dyDescent="0.25">
      <c r="B1993" s="19"/>
    </row>
    <row r="1994" spans="2:2" x14ac:dyDescent="0.25">
      <c r="B1994" s="19"/>
    </row>
    <row r="1995" spans="2:2" x14ac:dyDescent="0.25">
      <c r="B1995" s="19"/>
    </row>
    <row r="1996" spans="2:2" x14ac:dyDescent="0.25">
      <c r="B1996" s="19"/>
    </row>
    <row r="1997" spans="2:2" x14ac:dyDescent="0.25">
      <c r="B1997" s="19"/>
    </row>
    <row r="1998" spans="2:2" x14ac:dyDescent="0.25">
      <c r="B1998" s="19"/>
    </row>
    <row r="1999" spans="2:2" x14ac:dyDescent="0.25">
      <c r="B1999" s="19"/>
    </row>
    <row r="2000" spans="2:2" x14ac:dyDescent="0.25">
      <c r="B2000" s="19"/>
    </row>
    <row r="2001" spans="2:2" x14ac:dyDescent="0.25">
      <c r="B2001" s="19"/>
    </row>
    <row r="2002" spans="2:2" x14ac:dyDescent="0.25">
      <c r="B2002" s="19"/>
    </row>
    <row r="2003" spans="2:2" x14ac:dyDescent="0.25">
      <c r="B2003" s="19"/>
    </row>
    <row r="2004" spans="2:2" x14ac:dyDescent="0.25">
      <c r="B2004" s="19"/>
    </row>
    <row r="2005" spans="2:2" x14ac:dyDescent="0.25">
      <c r="B2005" s="19"/>
    </row>
    <row r="2006" spans="2:2" x14ac:dyDescent="0.25">
      <c r="B2006" s="19"/>
    </row>
    <row r="2007" spans="2:2" x14ac:dyDescent="0.25">
      <c r="B2007" s="19"/>
    </row>
    <row r="2008" spans="2:2" x14ac:dyDescent="0.25">
      <c r="B2008" s="19"/>
    </row>
    <row r="2009" spans="2:2" x14ac:dyDescent="0.25">
      <c r="B2009" s="19"/>
    </row>
    <row r="2010" spans="2:2" x14ac:dyDescent="0.25">
      <c r="B2010" s="19"/>
    </row>
    <row r="2011" spans="2:2" x14ac:dyDescent="0.25">
      <c r="B2011" s="19"/>
    </row>
    <row r="2012" spans="2:2" x14ac:dyDescent="0.25">
      <c r="B2012" s="19"/>
    </row>
    <row r="2013" spans="2:2" x14ac:dyDescent="0.25">
      <c r="B2013" s="19"/>
    </row>
    <row r="2014" spans="2:2" x14ac:dyDescent="0.25">
      <c r="B2014" s="19"/>
    </row>
    <row r="2015" spans="2:2" x14ac:dyDescent="0.25">
      <c r="B2015" s="19"/>
    </row>
    <row r="2016" spans="2:2" x14ac:dyDescent="0.25">
      <c r="B2016" s="19"/>
    </row>
    <row r="2017" spans="2:2" x14ac:dyDescent="0.25">
      <c r="B2017" s="19"/>
    </row>
    <row r="2018" spans="2:2" x14ac:dyDescent="0.25">
      <c r="B2018" s="19"/>
    </row>
    <row r="2019" spans="2:2" x14ac:dyDescent="0.25">
      <c r="B2019" s="19"/>
    </row>
    <row r="2020" spans="2:2" x14ac:dyDescent="0.25">
      <c r="B2020" s="19"/>
    </row>
    <row r="2021" spans="2:2" x14ac:dyDescent="0.25">
      <c r="B2021" s="19"/>
    </row>
    <row r="2022" spans="2:2" x14ac:dyDescent="0.25">
      <c r="B2022" s="19"/>
    </row>
    <row r="2023" spans="2:2" x14ac:dyDescent="0.25">
      <c r="B2023" s="19"/>
    </row>
    <row r="2024" spans="2:2" x14ac:dyDescent="0.25">
      <c r="B2024" s="19"/>
    </row>
    <row r="2025" spans="2:2" x14ac:dyDescent="0.25">
      <c r="B2025" s="19"/>
    </row>
    <row r="2026" spans="2:2" x14ac:dyDescent="0.25">
      <c r="B2026" s="19"/>
    </row>
    <row r="2027" spans="2:2" x14ac:dyDescent="0.25">
      <c r="B2027" s="19"/>
    </row>
    <row r="2028" spans="2:2" x14ac:dyDescent="0.25">
      <c r="B2028" s="19"/>
    </row>
    <row r="2029" spans="2:2" x14ac:dyDescent="0.25">
      <c r="B2029" s="19"/>
    </row>
    <row r="2030" spans="2:2" x14ac:dyDescent="0.25">
      <c r="B2030" s="19"/>
    </row>
    <row r="2031" spans="2:2" x14ac:dyDescent="0.25">
      <c r="B2031" s="19"/>
    </row>
    <row r="2032" spans="2:2" x14ac:dyDescent="0.25">
      <c r="B2032" s="19"/>
    </row>
    <row r="2033" spans="2:2" x14ac:dyDescent="0.25">
      <c r="B2033" s="19"/>
    </row>
    <row r="2034" spans="2:2" x14ac:dyDescent="0.25">
      <c r="B2034" s="19"/>
    </row>
    <row r="2035" spans="2:2" x14ac:dyDescent="0.25">
      <c r="B2035" s="19"/>
    </row>
    <row r="2036" spans="2:2" x14ac:dyDescent="0.25">
      <c r="B2036" s="19"/>
    </row>
    <row r="2037" spans="2:2" x14ac:dyDescent="0.25">
      <c r="B2037" s="19"/>
    </row>
    <row r="2038" spans="2:2" x14ac:dyDescent="0.25">
      <c r="B2038" s="19"/>
    </row>
    <row r="2039" spans="2:2" x14ac:dyDescent="0.25">
      <c r="B2039" s="19"/>
    </row>
    <row r="2040" spans="2:2" x14ac:dyDescent="0.25">
      <c r="B2040" s="19"/>
    </row>
    <row r="2041" spans="2:2" x14ac:dyDescent="0.25">
      <c r="B2041" s="19"/>
    </row>
    <row r="2042" spans="2:2" x14ac:dyDescent="0.25">
      <c r="B2042" s="19"/>
    </row>
    <row r="2043" spans="2:2" x14ac:dyDescent="0.25">
      <c r="B2043" s="19"/>
    </row>
    <row r="2044" spans="2:2" x14ac:dyDescent="0.25">
      <c r="B2044" s="19"/>
    </row>
    <row r="2045" spans="2:2" x14ac:dyDescent="0.25">
      <c r="B2045" s="19"/>
    </row>
    <row r="2046" spans="2:2" x14ac:dyDescent="0.25">
      <c r="B2046" s="19"/>
    </row>
    <row r="2047" spans="2:2" x14ac:dyDescent="0.25">
      <c r="B2047" s="19"/>
    </row>
    <row r="2048" spans="2:2" x14ac:dyDescent="0.25">
      <c r="B2048" s="19"/>
    </row>
    <row r="2049" spans="2:2" x14ac:dyDescent="0.25">
      <c r="B2049" s="19"/>
    </row>
    <row r="2050" spans="2:2" x14ac:dyDescent="0.25">
      <c r="B2050" s="19"/>
    </row>
    <row r="2051" spans="2:2" x14ac:dyDescent="0.25">
      <c r="B2051" s="19"/>
    </row>
    <row r="2052" spans="2:2" x14ac:dyDescent="0.25">
      <c r="B2052" s="19"/>
    </row>
    <row r="2053" spans="2:2" x14ac:dyDescent="0.25">
      <c r="B2053" s="19"/>
    </row>
    <row r="2054" spans="2:2" x14ac:dyDescent="0.25">
      <c r="B2054" s="19"/>
    </row>
    <row r="2055" spans="2:2" x14ac:dyDescent="0.25">
      <c r="B2055" s="19"/>
    </row>
    <row r="2056" spans="2:2" x14ac:dyDescent="0.25">
      <c r="B2056" s="19"/>
    </row>
    <row r="2057" spans="2:2" x14ac:dyDescent="0.25">
      <c r="B2057" s="19"/>
    </row>
    <row r="2058" spans="2:2" x14ac:dyDescent="0.25">
      <c r="B2058" s="19"/>
    </row>
    <row r="2059" spans="2:2" x14ac:dyDescent="0.25">
      <c r="B2059" s="19"/>
    </row>
    <row r="2060" spans="2:2" x14ac:dyDescent="0.25">
      <c r="B2060" s="19"/>
    </row>
    <row r="2061" spans="2:2" x14ac:dyDescent="0.25">
      <c r="B2061" s="19"/>
    </row>
    <row r="2062" spans="2:2" x14ac:dyDescent="0.25">
      <c r="B2062" s="19"/>
    </row>
    <row r="2063" spans="2:2" x14ac:dyDescent="0.25">
      <c r="B2063" s="19"/>
    </row>
    <row r="2064" spans="2:2" x14ac:dyDescent="0.25">
      <c r="B2064" s="19"/>
    </row>
    <row r="2065" spans="2:2" x14ac:dyDescent="0.25">
      <c r="B2065" s="19"/>
    </row>
    <row r="2066" spans="2:2" x14ac:dyDescent="0.25">
      <c r="B2066" s="19"/>
    </row>
    <row r="2067" spans="2:2" x14ac:dyDescent="0.25">
      <c r="B2067" s="19"/>
    </row>
    <row r="2068" spans="2:2" x14ac:dyDescent="0.25">
      <c r="B2068" s="19"/>
    </row>
    <row r="2069" spans="2:2" x14ac:dyDescent="0.25">
      <c r="B2069" s="19"/>
    </row>
    <row r="2070" spans="2:2" x14ac:dyDescent="0.25">
      <c r="B2070" s="19"/>
    </row>
    <row r="2071" spans="2:2" x14ac:dyDescent="0.25">
      <c r="B2071" s="19"/>
    </row>
    <row r="2072" spans="2:2" x14ac:dyDescent="0.25">
      <c r="B2072" s="19"/>
    </row>
    <row r="2073" spans="2:2" x14ac:dyDescent="0.25">
      <c r="B2073" s="19"/>
    </row>
    <row r="2074" spans="2:2" x14ac:dyDescent="0.25">
      <c r="B2074" s="19"/>
    </row>
    <row r="2075" spans="2:2" x14ac:dyDescent="0.25">
      <c r="B2075" s="19"/>
    </row>
    <row r="2076" spans="2:2" x14ac:dyDescent="0.25">
      <c r="B2076" s="19"/>
    </row>
    <row r="2077" spans="2:2" x14ac:dyDescent="0.25">
      <c r="B2077" s="19"/>
    </row>
    <row r="2078" spans="2:2" x14ac:dyDescent="0.25">
      <c r="B2078" s="19"/>
    </row>
    <row r="2079" spans="2:2" x14ac:dyDescent="0.25">
      <c r="B2079" s="19"/>
    </row>
    <row r="2080" spans="2:2" x14ac:dyDescent="0.25">
      <c r="B2080" s="19"/>
    </row>
    <row r="2081" spans="2:2" x14ac:dyDescent="0.25">
      <c r="B2081" s="19"/>
    </row>
    <row r="2082" spans="2:2" x14ac:dyDescent="0.25">
      <c r="B2082" s="19"/>
    </row>
    <row r="2083" spans="2:2" x14ac:dyDescent="0.25">
      <c r="B2083" s="19"/>
    </row>
    <row r="2084" spans="2:2" x14ac:dyDescent="0.25">
      <c r="B2084" s="19"/>
    </row>
    <row r="2085" spans="2:2" x14ac:dyDescent="0.25">
      <c r="B2085" s="19"/>
    </row>
    <row r="2086" spans="2:2" x14ac:dyDescent="0.25">
      <c r="B2086" s="19"/>
    </row>
    <row r="2087" spans="2:2" x14ac:dyDescent="0.25">
      <c r="B2087" s="19"/>
    </row>
    <row r="2088" spans="2:2" x14ac:dyDescent="0.25">
      <c r="B2088" s="19"/>
    </row>
    <row r="2089" spans="2:2" x14ac:dyDescent="0.25">
      <c r="B2089" s="19"/>
    </row>
    <row r="2090" spans="2:2" x14ac:dyDescent="0.25">
      <c r="B2090" s="19"/>
    </row>
    <row r="2091" spans="2:2" x14ac:dyDescent="0.25">
      <c r="B2091" s="19"/>
    </row>
    <row r="2092" spans="2:2" x14ac:dyDescent="0.25">
      <c r="B2092" s="19"/>
    </row>
    <row r="2093" spans="2:2" x14ac:dyDescent="0.25">
      <c r="B2093" s="19"/>
    </row>
    <row r="2094" spans="2:2" x14ac:dyDescent="0.25">
      <c r="B2094" s="19"/>
    </row>
    <row r="2095" spans="2:2" x14ac:dyDescent="0.25">
      <c r="B2095" s="19"/>
    </row>
    <row r="2096" spans="2:2" x14ac:dyDescent="0.25">
      <c r="B2096" s="19"/>
    </row>
    <row r="2097" spans="2:2" x14ac:dyDescent="0.25">
      <c r="B2097" s="19"/>
    </row>
    <row r="2098" spans="2:2" x14ac:dyDescent="0.25">
      <c r="B2098" s="19"/>
    </row>
    <row r="2099" spans="2:2" x14ac:dyDescent="0.25">
      <c r="B2099" s="19"/>
    </row>
    <row r="2100" spans="2:2" x14ac:dyDescent="0.25">
      <c r="B2100" s="19"/>
    </row>
    <row r="2101" spans="2:2" x14ac:dyDescent="0.25">
      <c r="B2101" s="19"/>
    </row>
    <row r="2102" spans="2:2" x14ac:dyDescent="0.25">
      <c r="B2102" s="19"/>
    </row>
    <row r="2103" spans="2:2" x14ac:dyDescent="0.25">
      <c r="B2103" s="19"/>
    </row>
    <row r="2104" spans="2:2" x14ac:dyDescent="0.25">
      <c r="B2104" s="19"/>
    </row>
    <row r="2105" spans="2:2" x14ac:dyDescent="0.25">
      <c r="B2105" s="19"/>
    </row>
    <row r="2106" spans="2:2" x14ac:dyDescent="0.25">
      <c r="B2106" s="19"/>
    </row>
    <row r="2107" spans="2:2" x14ac:dyDescent="0.25">
      <c r="B2107" s="19"/>
    </row>
    <row r="2108" spans="2:2" x14ac:dyDescent="0.25">
      <c r="B2108" s="19"/>
    </row>
    <row r="2109" spans="2:2" x14ac:dyDescent="0.25">
      <c r="B2109" s="19"/>
    </row>
    <row r="2110" spans="2:2" x14ac:dyDescent="0.25">
      <c r="B2110" s="19"/>
    </row>
    <row r="2111" spans="2:2" x14ac:dyDescent="0.25">
      <c r="B2111" s="19"/>
    </row>
    <row r="2112" spans="2:2" x14ac:dyDescent="0.25">
      <c r="B2112" s="19"/>
    </row>
    <row r="2113" spans="2:2" x14ac:dyDescent="0.25">
      <c r="B2113" s="19"/>
    </row>
    <row r="2114" spans="2:2" x14ac:dyDescent="0.25">
      <c r="B2114" s="19"/>
    </row>
    <row r="2115" spans="2:2" x14ac:dyDescent="0.25">
      <c r="B2115" s="19"/>
    </row>
    <row r="2116" spans="2:2" x14ac:dyDescent="0.25">
      <c r="B2116" s="19"/>
    </row>
    <row r="2117" spans="2:2" x14ac:dyDescent="0.25">
      <c r="B2117" s="19"/>
    </row>
    <row r="2118" spans="2:2" x14ac:dyDescent="0.25">
      <c r="B2118" s="19"/>
    </row>
    <row r="2119" spans="2:2" x14ac:dyDescent="0.25">
      <c r="B2119" s="19"/>
    </row>
    <row r="2120" spans="2:2" x14ac:dyDescent="0.25">
      <c r="B2120" s="19"/>
    </row>
    <row r="2121" spans="2:2" x14ac:dyDescent="0.25">
      <c r="B2121" s="19"/>
    </row>
    <row r="2122" spans="2:2" x14ac:dyDescent="0.25">
      <c r="B2122" s="19"/>
    </row>
    <row r="2123" spans="2:2" x14ac:dyDescent="0.25">
      <c r="B2123" s="19"/>
    </row>
    <row r="2124" spans="2:2" x14ac:dyDescent="0.25">
      <c r="B2124" s="19"/>
    </row>
    <row r="2125" spans="2:2" x14ac:dyDescent="0.25">
      <c r="B2125" s="19"/>
    </row>
    <row r="2126" spans="2:2" x14ac:dyDescent="0.25">
      <c r="B2126" s="19"/>
    </row>
    <row r="2127" spans="2:2" x14ac:dyDescent="0.25">
      <c r="B2127" s="19"/>
    </row>
    <row r="2128" spans="2:2" x14ac:dyDescent="0.25">
      <c r="B2128" s="19"/>
    </row>
    <row r="2129" spans="2:2" x14ac:dyDescent="0.25">
      <c r="B2129" s="19"/>
    </row>
    <row r="2130" spans="2:2" x14ac:dyDescent="0.25">
      <c r="B2130" s="19"/>
    </row>
    <row r="2131" spans="2:2" x14ac:dyDescent="0.25">
      <c r="B2131" s="19"/>
    </row>
    <row r="2132" spans="2:2" x14ac:dyDescent="0.25">
      <c r="B2132" s="19"/>
    </row>
    <row r="2133" spans="2:2" x14ac:dyDescent="0.25">
      <c r="B2133" s="19"/>
    </row>
    <row r="2134" spans="2:2" x14ac:dyDescent="0.25">
      <c r="B2134" s="19"/>
    </row>
    <row r="2135" spans="2:2" x14ac:dyDescent="0.25">
      <c r="B2135" s="19"/>
    </row>
    <row r="2136" spans="2:2" x14ac:dyDescent="0.25">
      <c r="B2136" s="19"/>
    </row>
    <row r="2137" spans="2:2" x14ac:dyDescent="0.25">
      <c r="B2137" s="19"/>
    </row>
    <row r="2138" spans="2:2" x14ac:dyDescent="0.25">
      <c r="B2138" s="19"/>
    </row>
    <row r="2139" spans="2:2" x14ac:dyDescent="0.25">
      <c r="B2139" s="19"/>
    </row>
    <row r="2140" spans="2:2" x14ac:dyDescent="0.25">
      <c r="B2140" s="19"/>
    </row>
    <row r="2141" spans="2:2" x14ac:dyDescent="0.25">
      <c r="B2141" s="19"/>
    </row>
    <row r="2142" spans="2:2" x14ac:dyDescent="0.25">
      <c r="B2142" s="19"/>
    </row>
    <row r="2143" spans="2:2" x14ac:dyDescent="0.25">
      <c r="B2143" s="19"/>
    </row>
    <row r="2144" spans="2:2" x14ac:dyDescent="0.25">
      <c r="B2144" s="19"/>
    </row>
    <row r="2145" spans="2:2" x14ac:dyDescent="0.25">
      <c r="B2145" s="19"/>
    </row>
    <row r="2146" spans="2:2" x14ac:dyDescent="0.25">
      <c r="B2146" s="19"/>
    </row>
    <row r="2147" spans="2:2" x14ac:dyDescent="0.25">
      <c r="B2147" s="19"/>
    </row>
    <row r="2148" spans="2:2" x14ac:dyDescent="0.25">
      <c r="B2148" s="19"/>
    </row>
    <row r="2149" spans="2:2" x14ac:dyDescent="0.25">
      <c r="B2149" s="19"/>
    </row>
    <row r="2150" spans="2:2" x14ac:dyDescent="0.25">
      <c r="B2150" s="19"/>
    </row>
    <row r="2151" spans="2:2" x14ac:dyDescent="0.25">
      <c r="B2151" s="19"/>
    </row>
    <row r="2152" spans="2:2" x14ac:dyDescent="0.25">
      <c r="B2152" s="19"/>
    </row>
    <row r="2153" spans="2:2" x14ac:dyDescent="0.25">
      <c r="B2153" s="19"/>
    </row>
    <row r="2154" spans="2:2" x14ac:dyDescent="0.25">
      <c r="B2154" s="19"/>
    </row>
    <row r="2155" spans="2:2" x14ac:dyDescent="0.25">
      <c r="B2155" s="19"/>
    </row>
    <row r="2156" spans="2:2" x14ac:dyDescent="0.25">
      <c r="B2156" s="19"/>
    </row>
    <row r="2157" spans="2:2" x14ac:dyDescent="0.25">
      <c r="B2157" s="19"/>
    </row>
    <row r="2158" spans="2:2" x14ac:dyDescent="0.25">
      <c r="B2158" s="19"/>
    </row>
    <row r="2159" spans="2:2" x14ac:dyDescent="0.25">
      <c r="B2159" s="19"/>
    </row>
    <row r="2160" spans="2:2" x14ac:dyDescent="0.25">
      <c r="B2160" s="19"/>
    </row>
    <row r="2161" spans="2:2" x14ac:dyDescent="0.25">
      <c r="B2161" s="19"/>
    </row>
    <row r="2162" spans="2:2" x14ac:dyDescent="0.25">
      <c r="B2162" s="19"/>
    </row>
    <row r="2163" spans="2:2" x14ac:dyDescent="0.25">
      <c r="B2163" s="19"/>
    </row>
    <row r="2164" spans="2:2" x14ac:dyDescent="0.25">
      <c r="B2164" s="19"/>
    </row>
    <row r="2165" spans="2:2" x14ac:dyDescent="0.25">
      <c r="B2165" s="19"/>
    </row>
    <row r="2166" spans="2:2" x14ac:dyDescent="0.25">
      <c r="B2166" s="19"/>
    </row>
    <row r="2167" spans="2:2" x14ac:dyDescent="0.25">
      <c r="B2167" s="19"/>
    </row>
    <row r="2168" spans="2:2" x14ac:dyDescent="0.25">
      <c r="B2168" s="19"/>
    </row>
    <row r="2169" spans="2:2" x14ac:dyDescent="0.25">
      <c r="B2169" s="19"/>
    </row>
    <row r="2170" spans="2:2" x14ac:dyDescent="0.25">
      <c r="B2170" s="19"/>
    </row>
    <row r="2171" spans="2:2" x14ac:dyDescent="0.25">
      <c r="B2171" s="19"/>
    </row>
    <row r="2172" spans="2:2" x14ac:dyDescent="0.25">
      <c r="B2172" s="19"/>
    </row>
    <row r="2173" spans="2:2" x14ac:dyDescent="0.25">
      <c r="B2173" s="19"/>
    </row>
    <row r="2174" spans="2:2" x14ac:dyDescent="0.25">
      <c r="B2174" s="19"/>
    </row>
    <row r="2175" spans="2:2" x14ac:dyDescent="0.25">
      <c r="B2175" s="19"/>
    </row>
    <row r="2176" spans="2:2" x14ac:dyDescent="0.25">
      <c r="B2176" s="19"/>
    </row>
    <row r="2177" spans="2:2" x14ac:dyDescent="0.25">
      <c r="B2177" s="19"/>
    </row>
    <row r="2178" spans="2:2" x14ac:dyDescent="0.25">
      <c r="B2178" s="19"/>
    </row>
    <row r="2179" spans="2:2" x14ac:dyDescent="0.25">
      <c r="B2179" s="19"/>
    </row>
    <row r="2180" spans="2:2" x14ac:dyDescent="0.25">
      <c r="B2180" s="19"/>
    </row>
    <row r="2181" spans="2:2" x14ac:dyDescent="0.25">
      <c r="B2181" s="19"/>
    </row>
    <row r="2182" spans="2:2" x14ac:dyDescent="0.25">
      <c r="B2182" s="19"/>
    </row>
    <row r="2183" spans="2:2" x14ac:dyDescent="0.25">
      <c r="B2183" s="19"/>
    </row>
    <row r="2184" spans="2:2" x14ac:dyDescent="0.25">
      <c r="B2184" s="19"/>
    </row>
    <row r="2185" spans="2:2" x14ac:dyDescent="0.25">
      <c r="B2185" s="19"/>
    </row>
    <row r="2186" spans="2:2" x14ac:dyDescent="0.25">
      <c r="B2186" s="19"/>
    </row>
    <row r="2187" spans="2:2" x14ac:dyDescent="0.25">
      <c r="B2187" s="19"/>
    </row>
    <row r="2188" spans="2:2" x14ac:dyDescent="0.25">
      <c r="B2188" s="19"/>
    </row>
    <row r="2189" spans="2:2" x14ac:dyDescent="0.25">
      <c r="B2189" s="19"/>
    </row>
    <row r="2190" spans="2:2" x14ac:dyDescent="0.25">
      <c r="B2190" s="19"/>
    </row>
    <row r="2191" spans="2:2" x14ac:dyDescent="0.25">
      <c r="B2191" s="19"/>
    </row>
    <row r="2192" spans="2:2" x14ac:dyDescent="0.25">
      <c r="B2192" s="19"/>
    </row>
    <row r="2193" spans="2:2" x14ac:dyDescent="0.25">
      <c r="B2193" s="19"/>
    </row>
    <row r="2194" spans="2:2" x14ac:dyDescent="0.25">
      <c r="B2194" s="19"/>
    </row>
    <row r="2195" spans="2:2" x14ac:dyDescent="0.25">
      <c r="B2195" s="19"/>
    </row>
    <row r="2196" spans="2:2" x14ac:dyDescent="0.25">
      <c r="B2196" s="19"/>
    </row>
    <row r="2197" spans="2:2" x14ac:dyDescent="0.25">
      <c r="B2197" s="19"/>
    </row>
    <row r="2198" spans="2:2" x14ac:dyDescent="0.25">
      <c r="B2198" s="19"/>
    </row>
    <row r="2199" spans="2:2" x14ac:dyDescent="0.25">
      <c r="B2199" s="19"/>
    </row>
    <row r="2200" spans="2:2" x14ac:dyDescent="0.25">
      <c r="B2200" s="19"/>
    </row>
    <row r="2201" spans="2:2" x14ac:dyDescent="0.25">
      <c r="B2201" s="19"/>
    </row>
    <row r="2202" spans="2:2" x14ac:dyDescent="0.25">
      <c r="B2202" s="19"/>
    </row>
    <row r="2203" spans="2:2" x14ac:dyDescent="0.25">
      <c r="B2203" s="19"/>
    </row>
    <row r="2204" spans="2:2" x14ac:dyDescent="0.25">
      <c r="B2204" s="19"/>
    </row>
    <row r="2205" spans="2:2" x14ac:dyDescent="0.25">
      <c r="B2205" s="19"/>
    </row>
    <row r="2206" spans="2:2" x14ac:dyDescent="0.25">
      <c r="B2206" s="19"/>
    </row>
    <row r="2207" spans="2:2" x14ac:dyDescent="0.25">
      <c r="B2207" s="19"/>
    </row>
    <row r="2208" spans="2:2" x14ac:dyDescent="0.25">
      <c r="B2208" s="19"/>
    </row>
    <row r="2209" spans="2:2" x14ac:dyDescent="0.25">
      <c r="B2209" s="19"/>
    </row>
    <row r="2210" spans="2:2" x14ac:dyDescent="0.25">
      <c r="B2210" s="19"/>
    </row>
    <row r="2211" spans="2:2" x14ac:dyDescent="0.25">
      <c r="B2211" s="19"/>
    </row>
    <row r="2212" spans="2:2" x14ac:dyDescent="0.25">
      <c r="B2212" s="19"/>
    </row>
    <row r="2213" spans="2:2" x14ac:dyDescent="0.25">
      <c r="B2213" s="19"/>
    </row>
    <row r="2214" spans="2:2" x14ac:dyDescent="0.25">
      <c r="B2214" s="19"/>
    </row>
    <row r="2215" spans="2:2" x14ac:dyDescent="0.25">
      <c r="B2215" s="19"/>
    </row>
    <row r="2216" spans="2:2" x14ac:dyDescent="0.25">
      <c r="B2216" s="19"/>
    </row>
    <row r="2217" spans="2:2" x14ac:dyDescent="0.25">
      <c r="B2217" s="19"/>
    </row>
    <row r="2218" spans="2:2" x14ac:dyDescent="0.25">
      <c r="B2218" s="19"/>
    </row>
    <row r="2219" spans="2:2" x14ac:dyDescent="0.25">
      <c r="B2219" s="19"/>
    </row>
    <row r="2220" spans="2:2" x14ac:dyDescent="0.25">
      <c r="B2220" s="19"/>
    </row>
    <row r="2221" spans="2:2" x14ac:dyDescent="0.25">
      <c r="B2221" s="19"/>
    </row>
    <row r="2222" spans="2:2" x14ac:dyDescent="0.25">
      <c r="B2222" s="19"/>
    </row>
    <row r="2223" spans="2:2" x14ac:dyDescent="0.25">
      <c r="B2223" s="19"/>
    </row>
    <row r="2224" spans="2:2" x14ac:dyDescent="0.25">
      <c r="B2224" s="19"/>
    </row>
    <row r="2225" spans="2:2" x14ac:dyDescent="0.25">
      <c r="B2225" s="19"/>
    </row>
    <row r="2226" spans="2:2" x14ac:dyDescent="0.25">
      <c r="B2226" s="19"/>
    </row>
    <row r="2227" spans="2:2" x14ac:dyDescent="0.25">
      <c r="B2227" s="19"/>
    </row>
    <row r="2228" spans="2:2" x14ac:dyDescent="0.25">
      <c r="B2228" s="19"/>
    </row>
    <row r="2229" spans="2:2" x14ac:dyDescent="0.25">
      <c r="B2229" s="19"/>
    </row>
    <row r="2230" spans="2:2" x14ac:dyDescent="0.25">
      <c r="B2230" s="19"/>
    </row>
    <row r="2231" spans="2:2" x14ac:dyDescent="0.25">
      <c r="B2231" s="19"/>
    </row>
    <row r="2232" spans="2:2" x14ac:dyDescent="0.25">
      <c r="B2232" s="19"/>
    </row>
    <row r="2233" spans="2:2" x14ac:dyDescent="0.25">
      <c r="B2233" s="19"/>
    </row>
    <row r="2234" spans="2:2" x14ac:dyDescent="0.25">
      <c r="B2234" s="19"/>
    </row>
    <row r="2235" spans="2:2" x14ac:dyDescent="0.25">
      <c r="B2235" s="19"/>
    </row>
    <row r="2236" spans="2:2" x14ac:dyDescent="0.25">
      <c r="B2236" s="19"/>
    </row>
    <row r="2237" spans="2:2" x14ac:dyDescent="0.25">
      <c r="B2237" s="19"/>
    </row>
    <row r="2238" spans="2:2" x14ac:dyDescent="0.25">
      <c r="B2238" s="19"/>
    </row>
    <row r="2239" spans="2:2" x14ac:dyDescent="0.25">
      <c r="B2239" s="19"/>
    </row>
    <row r="2240" spans="2:2" x14ac:dyDescent="0.25">
      <c r="B2240" s="19"/>
    </row>
    <row r="2241" spans="2:2" x14ac:dyDescent="0.25">
      <c r="B2241" s="19"/>
    </row>
    <row r="2242" spans="2:2" x14ac:dyDescent="0.25">
      <c r="B2242" s="19"/>
    </row>
    <row r="2243" spans="2:2" x14ac:dyDescent="0.25">
      <c r="B2243" s="19"/>
    </row>
    <row r="2244" spans="2:2" x14ac:dyDescent="0.25">
      <c r="B2244" s="19"/>
    </row>
    <row r="2245" spans="2:2" x14ac:dyDescent="0.25">
      <c r="B2245" s="19"/>
    </row>
    <row r="2246" spans="2:2" x14ac:dyDescent="0.25">
      <c r="B2246" s="19"/>
    </row>
    <row r="2247" spans="2:2" x14ac:dyDescent="0.25">
      <c r="B2247" s="19"/>
    </row>
    <row r="2248" spans="2:2" x14ac:dyDescent="0.25">
      <c r="B2248" s="19"/>
    </row>
    <row r="2249" spans="2:2" x14ac:dyDescent="0.25">
      <c r="B2249" s="19"/>
    </row>
    <row r="2250" spans="2:2" x14ac:dyDescent="0.25">
      <c r="B2250" s="19"/>
    </row>
    <row r="2251" spans="2:2" x14ac:dyDescent="0.25">
      <c r="B2251" s="19"/>
    </row>
    <row r="2252" spans="2:2" x14ac:dyDescent="0.25">
      <c r="B2252" s="19"/>
    </row>
    <row r="2253" spans="2:2" x14ac:dyDescent="0.25">
      <c r="B2253" s="19"/>
    </row>
    <row r="2254" spans="2:2" x14ac:dyDescent="0.25">
      <c r="B2254" s="19"/>
    </row>
    <row r="2255" spans="2:2" x14ac:dyDescent="0.25">
      <c r="B2255" s="19"/>
    </row>
    <row r="2256" spans="2:2" x14ac:dyDescent="0.25">
      <c r="B2256" s="19"/>
    </row>
    <row r="2257" spans="2:2" x14ac:dyDescent="0.25">
      <c r="B2257" s="19"/>
    </row>
    <row r="2258" spans="2:2" x14ac:dyDescent="0.25">
      <c r="B2258" s="19"/>
    </row>
    <row r="2259" spans="2:2" x14ac:dyDescent="0.25">
      <c r="B2259" s="19"/>
    </row>
    <row r="2260" spans="2:2" x14ac:dyDescent="0.25">
      <c r="B2260" s="19"/>
    </row>
    <row r="2261" spans="2:2" x14ac:dyDescent="0.25">
      <c r="B2261" s="19"/>
    </row>
    <row r="2262" spans="2:2" x14ac:dyDescent="0.25">
      <c r="B2262" s="19"/>
    </row>
    <row r="2263" spans="2:2" x14ac:dyDescent="0.25">
      <c r="B2263" s="19"/>
    </row>
    <row r="2264" spans="2:2" x14ac:dyDescent="0.25">
      <c r="B2264" s="19"/>
    </row>
    <row r="2265" spans="2:2" x14ac:dyDescent="0.25">
      <c r="B2265" s="19"/>
    </row>
    <row r="2266" spans="2:2" x14ac:dyDescent="0.25">
      <c r="B2266" s="19"/>
    </row>
    <row r="2267" spans="2:2" x14ac:dyDescent="0.25">
      <c r="B2267" s="19"/>
    </row>
    <row r="2268" spans="2:2" x14ac:dyDescent="0.25">
      <c r="B2268" s="19"/>
    </row>
    <row r="2269" spans="2:2" x14ac:dyDescent="0.25">
      <c r="B2269" s="19"/>
    </row>
    <row r="2270" spans="2:2" x14ac:dyDescent="0.25">
      <c r="B2270" s="19"/>
    </row>
    <row r="2271" spans="2:2" x14ac:dyDescent="0.25">
      <c r="B2271" s="19"/>
    </row>
    <row r="2272" spans="2:2" x14ac:dyDescent="0.25">
      <c r="B2272" s="19"/>
    </row>
    <row r="2273" spans="2:2" x14ac:dyDescent="0.25">
      <c r="B2273" s="19"/>
    </row>
    <row r="2274" spans="2:2" x14ac:dyDescent="0.25">
      <c r="B2274" s="19"/>
    </row>
    <row r="2275" spans="2:2" x14ac:dyDescent="0.25">
      <c r="B2275" s="19"/>
    </row>
    <row r="2276" spans="2:2" x14ac:dyDescent="0.25">
      <c r="B2276" s="19"/>
    </row>
    <row r="2277" spans="2:2" x14ac:dyDescent="0.25">
      <c r="B2277" s="19"/>
    </row>
    <row r="2278" spans="2:2" x14ac:dyDescent="0.25">
      <c r="B2278" s="19"/>
    </row>
    <row r="2279" spans="2:2" x14ac:dyDescent="0.25">
      <c r="B2279" s="19"/>
    </row>
    <row r="2280" spans="2:2" x14ac:dyDescent="0.25">
      <c r="B2280" s="19"/>
    </row>
    <row r="2281" spans="2:2" x14ac:dyDescent="0.25">
      <c r="B2281" s="19"/>
    </row>
    <row r="2282" spans="2:2" x14ac:dyDescent="0.25">
      <c r="B2282" s="19"/>
    </row>
    <row r="2283" spans="2:2" x14ac:dyDescent="0.25">
      <c r="B2283" s="19"/>
    </row>
    <row r="2284" spans="2:2" x14ac:dyDescent="0.25">
      <c r="B2284" s="19"/>
    </row>
    <row r="2285" spans="2:2" x14ac:dyDescent="0.25">
      <c r="B2285" s="19"/>
    </row>
    <row r="2286" spans="2:2" x14ac:dyDescent="0.25">
      <c r="B2286" s="19"/>
    </row>
    <row r="2287" spans="2:2" x14ac:dyDescent="0.25">
      <c r="B2287" s="19"/>
    </row>
    <row r="2288" spans="2:2" x14ac:dyDescent="0.25">
      <c r="B2288" s="19"/>
    </row>
    <row r="2289" spans="2:2" x14ac:dyDescent="0.25">
      <c r="B2289" s="19"/>
    </row>
    <row r="2290" spans="2:2" x14ac:dyDescent="0.25">
      <c r="B2290" s="19"/>
    </row>
    <row r="2291" spans="2:2" x14ac:dyDescent="0.25">
      <c r="B2291" s="19"/>
    </row>
    <row r="2292" spans="2:2" x14ac:dyDescent="0.25">
      <c r="B2292" s="19"/>
    </row>
    <row r="2293" spans="2:2" x14ac:dyDescent="0.25">
      <c r="B2293" s="19"/>
    </row>
    <row r="2294" spans="2:2" x14ac:dyDescent="0.25">
      <c r="B2294" s="19"/>
    </row>
    <row r="2295" spans="2:2" x14ac:dyDescent="0.25">
      <c r="B2295" s="19"/>
    </row>
    <row r="2296" spans="2:2" x14ac:dyDescent="0.25">
      <c r="B2296" s="19"/>
    </row>
    <row r="2297" spans="2:2" x14ac:dyDescent="0.25">
      <c r="B2297" s="19"/>
    </row>
    <row r="2298" spans="2:2" x14ac:dyDescent="0.25">
      <c r="B2298" s="19"/>
    </row>
    <row r="2299" spans="2:2" x14ac:dyDescent="0.25">
      <c r="B2299" s="19"/>
    </row>
    <row r="2300" spans="2:2" x14ac:dyDescent="0.25">
      <c r="B2300" s="19"/>
    </row>
    <row r="2301" spans="2:2" x14ac:dyDescent="0.25">
      <c r="B2301" s="19"/>
    </row>
    <row r="2302" spans="2:2" x14ac:dyDescent="0.25">
      <c r="B2302" s="19"/>
    </row>
    <row r="2303" spans="2:2" x14ac:dyDescent="0.25">
      <c r="B2303" s="19"/>
    </row>
    <row r="2304" spans="2:2" x14ac:dyDescent="0.25">
      <c r="B2304" s="19"/>
    </row>
    <row r="2305" spans="2:2" x14ac:dyDescent="0.25">
      <c r="B2305" s="19"/>
    </row>
    <row r="2306" spans="2:2" x14ac:dyDescent="0.25">
      <c r="B2306" s="19"/>
    </row>
    <row r="2307" spans="2:2" x14ac:dyDescent="0.25">
      <c r="B2307" s="19"/>
    </row>
    <row r="2308" spans="2:2" x14ac:dyDescent="0.25">
      <c r="B2308" s="19"/>
    </row>
    <row r="2309" spans="2:2" x14ac:dyDescent="0.25">
      <c r="B2309" s="19"/>
    </row>
    <row r="2310" spans="2:2" x14ac:dyDescent="0.25">
      <c r="B2310" s="19"/>
    </row>
    <row r="2311" spans="2:2" x14ac:dyDescent="0.25">
      <c r="B2311" s="19"/>
    </row>
    <row r="2312" spans="2:2" x14ac:dyDescent="0.25">
      <c r="B2312" s="19"/>
    </row>
    <row r="2313" spans="2:2" x14ac:dyDescent="0.25">
      <c r="B2313" s="19"/>
    </row>
    <row r="2314" spans="2:2" x14ac:dyDescent="0.25">
      <c r="B2314" s="19"/>
    </row>
    <row r="2315" spans="2:2" x14ac:dyDescent="0.25">
      <c r="B2315" s="19"/>
    </row>
    <row r="2316" spans="2:2" x14ac:dyDescent="0.25">
      <c r="B2316" s="19"/>
    </row>
    <row r="2317" spans="2:2" x14ac:dyDescent="0.25">
      <c r="B2317" s="19"/>
    </row>
    <row r="2318" spans="2:2" x14ac:dyDescent="0.25">
      <c r="B2318" s="19"/>
    </row>
    <row r="2319" spans="2:2" x14ac:dyDescent="0.25">
      <c r="B2319" s="19"/>
    </row>
    <row r="2320" spans="2:2" x14ac:dyDescent="0.25">
      <c r="B2320" s="19"/>
    </row>
    <row r="2321" spans="2:2" x14ac:dyDescent="0.25">
      <c r="B2321" s="19"/>
    </row>
    <row r="2322" spans="2:2" x14ac:dyDescent="0.25">
      <c r="B2322" s="19"/>
    </row>
    <row r="2323" spans="2:2" x14ac:dyDescent="0.25">
      <c r="B2323" s="19"/>
    </row>
    <row r="2324" spans="2:2" x14ac:dyDescent="0.25">
      <c r="B2324" s="19"/>
    </row>
    <row r="2325" spans="2:2" x14ac:dyDescent="0.25">
      <c r="B2325" s="19"/>
    </row>
    <row r="2326" spans="2:2" x14ac:dyDescent="0.25">
      <c r="B2326" s="19"/>
    </row>
    <row r="2327" spans="2:2" x14ac:dyDescent="0.25">
      <c r="B2327" s="19"/>
    </row>
    <row r="2328" spans="2:2" x14ac:dyDescent="0.25">
      <c r="B2328" s="19"/>
    </row>
    <row r="2329" spans="2:2" x14ac:dyDescent="0.25">
      <c r="B2329" s="19"/>
    </row>
    <row r="2330" spans="2:2" x14ac:dyDescent="0.25">
      <c r="B2330" s="19"/>
    </row>
    <row r="2331" spans="2:2" x14ac:dyDescent="0.25">
      <c r="B2331" s="19"/>
    </row>
    <row r="2332" spans="2:2" x14ac:dyDescent="0.25">
      <c r="B2332" s="19"/>
    </row>
    <row r="2333" spans="2:2" x14ac:dyDescent="0.25">
      <c r="B2333" s="19"/>
    </row>
    <row r="2334" spans="2:2" x14ac:dyDescent="0.25">
      <c r="B2334" s="19"/>
    </row>
    <row r="2335" spans="2:2" x14ac:dyDescent="0.25">
      <c r="B2335" s="19"/>
    </row>
    <row r="2336" spans="2:2" x14ac:dyDescent="0.25">
      <c r="B2336" s="19"/>
    </row>
    <row r="2337" spans="2:2" x14ac:dyDescent="0.25">
      <c r="B2337" s="19"/>
    </row>
    <row r="2338" spans="2:2" x14ac:dyDescent="0.25">
      <c r="B2338" s="19"/>
    </row>
    <row r="2339" spans="2:2" x14ac:dyDescent="0.25">
      <c r="B2339" s="19"/>
    </row>
    <row r="2340" spans="2:2" x14ac:dyDescent="0.25">
      <c r="B2340" s="19"/>
    </row>
    <row r="2341" spans="2:2" x14ac:dyDescent="0.25">
      <c r="B2341" s="19"/>
    </row>
    <row r="2342" spans="2:2" x14ac:dyDescent="0.25">
      <c r="B2342" s="19"/>
    </row>
    <row r="2343" spans="2:2" x14ac:dyDescent="0.25">
      <c r="B2343" s="19"/>
    </row>
    <row r="2344" spans="2:2" x14ac:dyDescent="0.25">
      <c r="B2344" s="19"/>
    </row>
    <row r="2345" spans="2:2" x14ac:dyDescent="0.25">
      <c r="B2345" s="19"/>
    </row>
    <row r="2346" spans="2:2" x14ac:dyDescent="0.25">
      <c r="B2346" s="19"/>
    </row>
    <row r="2347" spans="2:2" x14ac:dyDescent="0.25">
      <c r="B2347" s="19"/>
    </row>
    <row r="2348" spans="2:2" x14ac:dyDescent="0.25">
      <c r="B2348" s="19"/>
    </row>
    <row r="2349" spans="2:2" x14ac:dyDescent="0.25">
      <c r="B2349" s="19"/>
    </row>
    <row r="2350" spans="2:2" x14ac:dyDescent="0.25">
      <c r="B2350" s="19"/>
    </row>
    <row r="2351" spans="2:2" x14ac:dyDescent="0.25">
      <c r="B2351" s="19"/>
    </row>
    <row r="2352" spans="2:2" x14ac:dyDescent="0.25">
      <c r="B2352" s="19"/>
    </row>
    <row r="2353" spans="2:2" x14ac:dyDescent="0.25">
      <c r="B2353" s="19"/>
    </row>
    <row r="2354" spans="2:2" x14ac:dyDescent="0.25">
      <c r="B2354" s="19"/>
    </row>
    <row r="2355" spans="2:2" x14ac:dyDescent="0.25">
      <c r="B2355" s="19"/>
    </row>
    <row r="2356" spans="2:2" x14ac:dyDescent="0.25">
      <c r="B2356" s="19"/>
    </row>
    <row r="2357" spans="2:2" x14ac:dyDescent="0.25">
      <c r="B2357" s="19"/>
    </row>
    <row r="2358" spans="2:2" x14ac:dyDescent="0.25">
      <c r="B2358" s="19"/>
    </row>
    <row r="2359" spans="2:2" x14ac:dyDescent="0.25">
      <c r="B2359" s="19"/>
    </row>
    <row r="2360" spans="2:2" x14ac:dyDescent="0.25">
      <c r="B2360" s="19"/>
    </row>
    <row r="2361" spans="2:2" x14ac:dyDescent="0.25">
      <c r="B2361" s="19"/>
    </row>
    <row r="2362" spans="2:2" x14ac:dyDescent="0.25">
      <c r="B2362" s="19"/>
    </row>
    <row r="2363" spans="2:2" x14ac:dyDescent="0.25">
      <c r="B2363" s="19"/>
    </row>
    <row r="2364" spans="2:2" x14ac:dyDescent="0.25">
      <c r="B2364" s="19"/>
    </row>
    <row r="2365" spans="2:2" x14ac:dyDescent="0.25">
      <c r="B2365" s="19"/>
    </row>
    <row r="2366" spans="2:2" x14ac:dyDescent="0.25">
      <c r="B2366" s="19"/>
    </row>
    <row r="2367" spans="2:2" x14ac:dyDescent="0.25">
      <c r="B2367" s="19"/>
    </row>
    <row r="2368" spans="2:2" x14ac:dyDescent="0.25">
      <c r="B2368" s="19"/>
    </row>
    <row r="2369" spans="2:2" x14ac:dyDescent="0.25">
      <c r="B2369" s="19"/>
    </row>
    <row r="2370" spans="2:2" x14ac:dyDescent="0.25">
      <c r="B2370" s="19"/>
    </row>
    <row r="2371" spans="2:2" x14ac:dyDescent="0.25">
      <c r="B2371" s="19"/>
    </row>
    <row r="2372" spans="2:2" x14ac:dyDescent="0.25">
      <c r="B2372" s="19"/>
    </row>
    <row r="2373" spans="2:2" x14ac:dyDescent="0.25">
      <c r="B2373" s="19"/>
    </row>
    <row r="2374" spans="2:2" x14ac:dyDescent="0.25">
      <c r="B2374" s="19"/>
    </row>
    <row r="2375" spans="2:2" x14ac:dyDescent="0.25">
      <c r="B2375" s="19"/>
    </row>
    <row r="2376" spans="2:2" x14ac:dyDescent="0.25">
      <c r="B2376" s="19"/>
    </row>
    <row r="2377" spans="2:2" x14ac:dyDescent="0.25">
      <c r="B2377" s="19"/>
    </row>
    <row r="2378" spans="2:2" x14ac:dyDescent="0.25">
      <c r="B2378" s="19"/>
    </row>
    <row r="2379" spans="2:2" x14ac:dyDescent="0.25">
      <c r="B2379" s="19"/>
    </row>
    <row r="2380" spans="2:2" x14ac:dyDescent="0.25">
      <c r="B2380" s="19"/>
    </row>
    <row r="2381" spans="2:2" x14ac:dyDescent="0.25">
      <c r="B2381" s="19"/>
    </row>
    <row r="2382" spans="2:2" x14ac:dyDescent="0.25">
      <c r="B2382" s="19"/>
    </row>
    <row r="2383" spans="2:2" x14ac:dyDescent="0.25">
      <c r="B2383" s="19"/>
    </row>
    <row r="2384" spans="2:2" x14ac:dyDescent="0.25">
      <c r="B2384" s="19"/>
    </row>
    <row r="2385" spans="2:2" x14ac:dyDescent="0.25">
      <c r="B2385" s="19"/>
    </row>
    <row r="2386" spans="2:2" x14ac:dyDescent="0.25">
      <c r="B2386" s="19"/>
    </row>
    <row r="2387" spans="2:2" x14ac:dyDescent="0.25">
      <c r="B2387" s="19"/>
    </row>
    <row r="2388" spans="2:2" x14ac:dyDescent="0.25">
      <c r="B2388" s="19"/>
    </row>
    <row r="2389" spans="2:2" x14ac:dyDescent="0.25">
      <c r="B2389" s="19"/>
    </row>
    <row r="2390" spans="2:2" x14ac:dyDescent="0.25">
      <c r="B2390" s="19"/>
    </row>
    <row r="2391" spans="2:2" x14ac:dyDescent="0.25">
      <c r="B2391" s="19"/>
    </row>
    <row r="2392" spans="2:2" x14ac:dyDescent="0.25">
      <c r="B2392" s="19"/>
    </row>
    <row r="2393" spans="2:2" x14ac:dyDescent="0.25">
      <c r="B2393" s="19"/>
    </row>
    <row r="2394" spans="2:2" x14ac:dyDescent="0.25">
      <c r="B2394" s="19"/>
    </row>
    <row r="2395" spans="2:2" x14ac:dyDescent="0.25">
      <c r="B2395" s="19"/>
    </row>
    <row r="2396" spans="2:2" x14ac:dyDescent="0.25">
      <c r="B2396" s="19"/>
    </row>
    <row r="2397" spans="2:2" x14ac:dyDescent="0.25">
      <c r="B2397" s="19"/>
    </row>
    <row r="2398" spans="2:2" x14ac:dyDescent="0.25">
      <c r="B2398" s="19"/>
    </row>
    <row r="2399" spans="2:2" x14ac:dyDescent="0.25">
      <c r="B2399" s="19"/>
    </row>
    <row r="2400" spans="2:2" x14ac:dyDescent="0.25">
      <c r="B2400" s="19"/>
    </row>
    <row r="2401" spans="2:2" x14ac:dyDescent="0.25">
      <c r="B2401" s="19"/>
    </row>
    <row r="2402" spans="2:2" x14ac:dyDescent="0.25">
      <c r="B2402" s="19"/>
    </row>
    <row r="2403" spans="2:2" x14ac:dyDescent="0.25">
      <c r="B2403" s="19"/>
    </row>
    <row r="2404" spans="2:2" x14ac:dyDescent="0.25">
      <c r="B2404" s="19"/>
    </row>
    <row r="2405" spans="2:2" x14ac:dyDescent="0.25">
      <c r="B2405" s="19"/>
    </row>
    <row r="2406" spans="2:2" x14ac:dyDescent="0.25">
      <c r="B2406" s="19"/>
    </row>
    <row r="2407" spans="2:2" x14ac:dyDescent="0.25">
      <c r="B2407" s="19"/>
    </row>
    <row r="2408" spans="2:2" x14ac:dyDescent="0.25">
      <c r="B2408" s="19"/>
    </row>
    <row r="2409" spans="2:2" x14ac:dyDescent="0.25">
      <c r="B2409" s="19"/>
    </row>
    <row r="2410" spans="2:2" x14ac:dyDescent="0.25">
      <c r="B2410" s="19"/>
    </row>
    <row r="2411" spans="2:2" x14ac:dyDescent="0.25">
      <c r="B2411" s="19"/>
    </row>
    <row r="2412" spans="2:2" x14ac:dyDescent="0.25">
      <c r="B2412" s="19"/>
    </row>
    <row r="2413" spans="2:2" x14ac:dyDescent="0.25">
      <c r="B2413" s="19"/>
    </row>
    <row r="2414" spans="2:2" x14ac:dyDescent="0.25">
      <c r="B2414" s="19"/>
    </row>
    <row r="2415" spans="2:2" x14ac:dyDescent="0.25">
      <c r="B2415" s="19"/>
    </row>
    <row r="2416" spans="2:2" x14ac:dyDescent="0.25">
      <c r="B2416" s="19"/>
    </row>
    <row r="2417" spans="2:2" x14ac:dyDescent="0.25">
      <c r="B2417" s="19"/>
    </row>
    <row r="2418" spans="2:2" x14ac:dyDescent="0.25">
      <c r="B2418" s="19"/>
    </row>
    <row r="2419" spans="2:2" x14ac:dyDescent="0.25">
      <c r="B2419" s="19"/>
    </row>
    <row r="2420" spans="2:2" x14ac:dyDescent="0.25">
      <c r="B2420" s="19"/>
    </row>
    <row r="2421" spans="2:2" x14ac:dyDescent="0.25">
      <c r="B2421" s="19"/>
    </row>
    <row r="2422" spans="2:2" x14ac:dyDescent="0.25">
      <c r="B2422" s="19"/>
    </row>
    <row r="2423" spans="2:2" x14ac:dyDescent="0.25">
      <c r="B2423" s="19"/>
    </row>
    <row r="2424" spans="2:2" x14ac:dyDescent="0.25">
      <c r="B2424" s="19"/>
    </row>
    <row r="2425" spans="2:2" x14ac:dyDescent="0.25">
      <c r="B2425" s="19"/>
    </row>
    <row r="2426" spans="2:2" x14ac:dyDescent="0.25">
      <c r="B2426" s="19"/>
    </row>
    <row r="2427" spans="2:2" x14ac:dyDescent="0.25">
      <c r="B2427" s="19"/>
    </row>
    <row r="2428" spans="2:2" x14ac:dyDescent="0.25">
      <c r="B2428" s="19"/>
    </row>
    <row r="2429" spans="2:2" x14ac:dyDescent="0.25">
      <c r="B2429" s="19"/>
    </row>
    <row r="2430" spans="2:2" x14ac:dyDescent="0.25">
      <c r="B2430" s="19"/>
    </row>
    <row r="2431" spans="2:2" x14ac:dyDescent="0.25">
      <c r="B2431" s="19"/>
    </row>
    <row r="2432" spans="2:2" x14ac:dyDescent="0.25">
      <c r="B2432" s="19"/>
    </row>
    <row r="2433" spans="2:2" x14ac:dyDescent="0.25">
      <c r="B2433" s="19"/>
    </row>
    <row r="2434" spans="2:2" x14ac:dyDescent="0.25">
      <c r="B2434" s="19"/>
    </row>
    <row r="2435" spans="2:2" x14ac:dyDescent="0.25">
      <c r="B2435" s="19"/>
    </row>
    <row r="2436" spans="2:2" x14ac:dyDescent="0.25">
      <c r="B2436" s="19"/>
    </row>
    <row r="2437" spans="2:2" x14ac:dyDescent="0.25">
      <c r="B2437" s="19"/>
    </row>
    <row r="2438" spans="2:2" x14ac:dyDescent="0.25">
      <c r="B2438" s="19"/>
    </row>
    <row r="2439" spans="2:2" x14ac:dyDescent="0.25">
      <c r="B2439" s="19"/>
    </row>
    <row r="2440" spans="2:2" x14ac:dyDescent="0.25">
      <c r="B2440" s="19"/>
    </row>
    <row r="2441" spans="2:2" x14ac:dyDescent="0.25">
      <c r="B2441" s="19"/>
    </row>
    <row r="2442" spans="2:2" x14ac:dyDescent="0.25">
      <c r="B2442" s="19"/>
    </row>
    <row r="2443" spans="2:2" x14ac:dyDescent="0.25">
      <c r="B2443" s="19"/>
    </row>
    <row r="2444" spans="2:2" x14ac:dyDescent="0.25">
      <c r="B2444" s="19"/>
    </row>
    <row r="2445" spans="2:2" x14ac:dyDescent="0.25">
      <c r="B2445" s="19"/>
    </row>
    <row r="2446" spans="2:2" x14ac:dyDescent="0.25">
      <c r="B2446" s="19"/>
    </row>
    <row r="2447" spans="2:2" x14ac:dyDescent="0.25">
      <c r="B2447" s="19"/>
    </row>
    <row r="2448" spans="2:2" x14ac:dyDescent="0.25">
      <c r="B2448" s="19"/>
    </row>
    <row r="2449" spans="2:2" x14ac:dyDescent="0.25">
      <c r="B2449" s="19"/>
    </row>
    <row r="2450" spans="2:2" x14ac:dyDescent="0.25">
      <c r="B2450" s="19"/>
    </row>
    <row r="2451" spans="2:2" x14ac:dyDescent="0.25">
      <c r="B2451" s="19"/>
    </row>
    <row r="2452" spans="2:2" x14ac:dyDescent="0.25">
      <c r="B2452" s="19"/>
    </row>
    <row r="2453" spans="2:2" x14ac:dyDescent="0.25">
      <c r="B2453" s="19"/>
    </row>
    <row r="2454" spans="2:2" x14ac:dyDescent="0.25">
      <c r="B2454" s="19"/>
    </row>
    <row r="2455" spans="2:2" x14ac:dyDescent="0.25">
      <c r="B2455" s="19"/>
    </row>
    <row r="2456" spans="2:2" x14ac:dyDescent="0.25">
      <c r="B2456" s="19"/>
    </row>
    <row r="2457" spans="2:2" x14ac:dyDescent="0.25">
      <c r="B2457" s="19"/>
    </row>
    <row r="2458" spans="2:2" x14ac:dyDescent="0.25">
      <c r="B2458" s="19"/>
    </row>
    <row r="2459" spans="2:2" x14ac:dyDescent="0.25">
      <c r="B2459" s="19"/>
    </row>
    <row r="2460" spans="2:2" x14ac:dyDescent="0.25">
      <c r="B2460" s="19"/>
    </row>
    <row r="2461" spans="2:2" x14ac:dyDescent="0.25">
      <c r="B2461" s="19"/>
    </row>
    <row r="2462" spans="2:2" x14ac:dyDescent="0.25">
      <c r="B2462" s="19"/>
    </row>
    <row r="2463" spans="2:2" x14ac:dyDescent="0.25">
      <c r="B2463" s="19"/>
    </row>
    <row r="2464" spans="2:2" x14ac:dyDescent="0.25">
      <c r="B2464" s="19"/>
    </row>
    <row r="2465" spans="2:2" x14ac:dyDescent="0.25">
      <c r="B2465" s="19"/>
    </row>
    <row r="2466" spans="2:2" x14ac:dyDescent="0.25">
      <c r="B2466" s="19"/>
    </row>
    <row r="2467" spans="2:2" x14ac:dyDescent="0.25">
      <c r="B2467" s="19"/>
    </row>
    <row r="2468" spans="2:2" x14ac:dyDescent="0.25">
      <c r="B2468" s="19"/>
    </row>
    <row r="2469" spans="2:2" x14ac:dyDescent="0.25">
      <c r="B2469" s="19"/>
    </row>
    <row r="2470" spans="2:2" x14ac:dyDescent="0.25">
      <c r="B2470" s="19"/>
    </row>
    <row r="2471" spans="2:2" x14ac:dyDescent="0.25">
      <c r="B2471" s="19"/>
    </row>
    <row r="2472" spans="2:2" x14ac:dyDescent="0.25">
      <c r="B2472" s="19"/>
    </row>
    <row r="2473" spans="2:2" x14ac:dyDescent="0.25">
      <c r="B2473" s="19"/>
    </row>
    <row r="2474" spans="2:2" x14ac:dyDescent="0.25">
      <c r="B2474" s="19"/>
    </row>
    <row r="2475" spans="2:2" x14ac:dyDescent="0.25">
      <c r="B2475" s="19"/>
    </row>
    <row r="2476" spans="2:2" x14ac:dyDescent="0.25">
      <c r="B2476" s="19"/>
    </row>
    <row r="2477" spans="2:2" x14ac:dyDescent="0.25">
      <c r="B2477" s="19"/>
    </row>
    <row r="2478" spans="2:2" x14ac:dyDescent="0.25">
      <c r="B2478" s="19"/>
    </row>
    <row r="2479" spans="2:2" x14ac:dyDescent="0.25">
      <c r="B2479" s="19"/>
    </row>
    <row r="2480" spans="2:2" x14ac:dyDescent="0.25">
      <c r="B2480" s="19"/>
    </row>
    <row r="2481" spans="2:2" x14ac:dyDescent="0.25">
      <c r="B2481" s="19"/>
    </row>
    <row r="2482" spans="2:2" x14ac:dyDescent="0.25">
      <c r="B2482" s="19"/>
    </row>
    <row r="2483" spans="2:2" x14ac:dyDescent="0.25">
      <c r="B2483" s="19"/>
    </row>
    <row r="2484" spans="2:2" x14ac:dyDescent="0.25">
      <c r="B2484" s="19"/>
    </row>
    <row r="2485" spans="2:2" x14ac:dyDescent="0.25">
      <c r="B2485" s="19"/>
    </row>
    <row r="2486" spans="2:2" x14ac:dyDescent="0.25">
      <c r="B2486" s="19"/>
    </row>
    <row r="2487" spans="2:2" x14ac:dyDescent="0.25">
      <c r="B2487" s="19"/>
    </row>
    <row r="2488" spans="2:2" x14ac:dyDescent="0.25">
      <c r="B2488" s="19"/>
    </row>
    <row r="2489" spans="2:2" x14ac:dyDescent="0.25">
      <c r="B2489" s="19"/>
    </row>
    <row r="2490" spans="2:2" x14ac:dyDescent="0.25">
      <c r="B2490" s="19"/>
    </row>
    <row r="2491" spans="2:2" x14ac:dyDescent="0.25">
      <c r="B2491" s="19"/>
    </row>
    <row r="2492" spans="2:2" x14ac:dyDescent="0.25">
      <c r="B2492" s="19"/>
    </row>
    <row r="2493" spans="2:2" x14ac:dyDescent="0.25">
      <c r="B2493" s="19"/>
    </row>
    <row r="2494" spans="2:2" x14ac:dyDescent="0.25">
      <c r="B2494" s="19"/>
    </row>
    <row r="2495" spans="2:2" x14ac:dyDescent="0.25">
      <c r="B2495" s="19"/>
    </row>
    <row r="2496" spans="2:2" x14ac:dyDescent="0.25">
      <c r="B2496" s="19"/>
    </row>
    <row r="2497" spans="2:2" x14ac:dyDescent="0.25">
      <c r="B2497" s="19"/>
    </row>
    <row r="2498" spans="2:2" x14ac:dyDescent="0.25">
      <c r="B2498" s="19"/>
    </row>
    <row r="2499" spans="2:2" x14ac:dyDescent="0.25">
      <c r="B2499" s="19"/>
    </row>
    <row r="2500" spans="2:2" x14ac:dyDescent="0.25">
      <c r="B2500" s="19"/>
    </row>
    <row r="2501" spans="2:2" x14ac:dyDescent="0.25">
      <c r="B2501" s="19"/>
    </row>
    <row r="2502" spans="2:2" x14ac:dyDescent="0.25">
      <c r="B2502" s="19"/>
    </row>
    <row r="2503" spans="2:2" x14ac:dyDescent="0.25">
      <c r="B2503" s="19"/>
    </row>
    <row r="2504" spans="2:2" x14ac:dyDescent="0.25">
      <c r="B2504" s="19"/>
    </row>
    <row r="2505" spans="2:2" x14ac:dyDescent="0.25">
      <c r="B2505" s="19"/>
    </row>
    <row r="2506" spans="2:2" x14ac:dyDescent="0.25">
      <c r="B2506" s="19"/>
    </row>
    <row r="2507" spans="2:2" x14ac:dyDescent="0.25">
      <c r="B2507" s="19"/>
    </row>
    <row r="2508" spans="2:2" x14ac:dyDescent="0.25">
      <c r="B2508" s="19"/>
    </row>
    <row r="2509" spans="2:2" x14ac:dyDescent="0.25">
      <c r="B2509" s="19"/>
    </row>
    <row r="2510" spans="2:2" x14ac:dyDescent="0.25">
      <c r="B2510" s="19"/>
    </row>
    <row r="2511" spans="2:2" x14ac:dyDescent="0.25">
      <c r="B2511" s="19"/>
    </row>
    <row r="2512" spans="2:2" x14ac:dyDescent="0.25">
      <c r="B2512" s="19"/>
    </row>
    <row r="2513" spans="2:2" x14ac:dyDescent="0.25">
      <c r="B2513" s="19"/>
    </row>
    <row r="2514" spans="2:2" x14ac:dyDescent="0.25">
      <c r="B2514" s="19"/>
    </row>
    <row r="2515" spans="2:2" x14ac:dyDescent="0.25">
      <c r="B2515" s="19"/>
    </row>
    <row r="2516" spans="2:2" x14ac:dyDescent="0.25">
      <c r="B2516" s="19"/>
    </row>
    <row r="2517" spans="2:2" x14ac:dyDescent="0.25">
      <c r="B2517" s="19"/>
    </row>
    <row r="2518" spans="2:2" x14ac:dyDescent="0.25">
      <c r="B2518" s="19"/>
    </row>
    <row r="2519" spans="2:2" x14ac:dyDescent="0.25">
      <c r="B2519" s="19"/>
    </row>
    <row r="2520" spans="2:2" x14ac:dyDescent="0.25">
      <c r="B2520" s="19"/>
    </row>
    <row r="2521" spans="2:2" x14ac:dyDescent="0.25">
      <c r="B2521" s="19"/>
    </row>
    <row r="2522" spans="2:2" x14ac:dyDescent="0.25">
      <c r="B2522" s="19"/>
    </row>
    <row r="2523" spans="2:2" x14ac:dyDescent="0.25">
      <c r="B2523" s="19"/>
    </row>
    <row r="2524" spans="2:2" x14ac:dyDescent="0.25">
      <c r="B2524" s="19"/>
    </row>
    <row r="2525" spans="2:2" x14ac:dyDescent="0.25">
      <c r="B2525" s="19"/>
    </row>
    <row r="2526" spans="2:2" x14ac:dyDescent="0.25">
      <c r="B2526" s="19"/>
    </row>
    <row r="2527" spans="2:2" x14ac:dyDescent="0.25">
      <c r="B2527" s="19"/>
    </row>
    <row r="2528" spans="2:2" x14ac:dyDescent="0.25">
      <c r="B2528" s="19"/>
    </row>
    <row r="2529" spans="2:2" x14ac:dyDescent="0.25">
      <c r="B2529" s="19"/>
    </row>
    <row r="2530" spans="2:2" x14ac:dyDescent="0.25">
      <c r="B2530" s="19"/>
    </row>
    <row r="2531" spans="2:2" x14ac:dyDescent="0.25">
      <c r="B2531" s="19"/>
    </row>
    <row r="2532" spans="2:2" x14ac:dyDescent="0.25">
      <c r="B2532" s="19"/>
    </row>
    <row r="2533" spans="2:2" x14ac:dyDescent="0.25">
      <c r="B2533" s="19"/>
    </row>
    <row r="2534" spans="2:2" x14ac:dyDescent="0.25">
      <c r="B2534" s="19"/>
    </row>
    <row r="2535" spans="2:2" x14ac:dyDescent="0.25">
      <c r="B2535" s="19"/>
    </row>
    <row r="2536" spans="2:2" x14ac:dyDescent="0.25">
      <c r="B2536" s="19"/>
    </row>
    <row r="2537" spans="2:2" x14ac:dyDescent="0.25">
      <c r="B2537" s="19"/>
    </row>
    <row r="2538" spans="2:2" x14ac:dyDescent="0.25">
      <c r="B2538" s="19"/>
    </row>
    <row r="2539" spans="2:2" x14ac:dyDescent="0.25">
      <c r="B2539" s="19"/>
    </row>
    <row r="2540" spans="2:2" x14ac:dyDescent="0.25">
      <c r="B2540" s="19"/>
    </row>
    <row r="2541" spans="2:2" x14ac:dyDescent="0.25">
      <c r="B2541" s="19"/>
    </row>
    <row r="2542" spans="2:2" x14ac:dyDescent="0.25">
      <c r="B2542" s="19"/>
    </row>
    <row r="2543" spans="2:2" x14ac:dyDescent="0.25">
      <c r="B2543" s="19"/>
    </row>
    <row r="2544" spans="2:2" x14ac:dyDescent="0.25">
      <c r="B2544" s="19"/>
    </row>
    <row r="2545" spans="2:2" x14ac:dyDescent="0.25">
      <c r="B2545" s="19"/>
    </row>
    <row r="2546" spans="2:2" x14ac:dyDescent="0.25">
      <c r="B2546" s="19"/>
    </row>
    <row r="2547" spans="2:2" x14ac:dyDescent="0.25">
      <c r="B2547" s="19"/>
    </row>
    <row r="2548" spans="2:2" x14ac:dyDescent="0.25">
      <c r="B2548" s="19"/>
    </row>
    <row r="2549" spans="2:2" x14ac:dyDescent="0.25">
      <c r="B2549" s="19"/>
    </row>
    <row r="2550" spans="2:2" x14ac:dyDescent="0.25">
      <c r="B2550" s="19"/>
    </row>
    <row r="2551" spans="2:2" x14ac:dyDescent="0.25">
      <c r="B2551" s="19"/>
    </row>
    <row r="2552" spans="2:2" x14ac:dyDescent="0.25">
      <c r="B2552" s="19"/>
    </row>
    <row r="2553" spans="2:2" x14ac:dyDescent="0.25">
      <c r="B2553" s="19"/>
    </row>
    <row r="2554" spans="2:2" x14ac:dyDescent="0.25">
      <c r="B2554" s="19"/>
    </row>
    <row r="2555" spans="2:2" x14ac:dyDescent="0.25">
      <c r="B2555" s="19"/>
    </row>
    <row r="2556" spans="2:2" x14ac:dyDescent="0.25">
      <c r="B2556" s="19"/>
    </row>
    <row r="2557" spans="2:2" x14ac:dyDescent="0.25">
      <c r="B2557" s="19"/>
    </row>
    <row r="2558" spans="2:2" x14ac:dyDescent="0.25">
      <c r="B2558" s="19"/>
    </row>
    <row r="2559" spans="2:2" x14ac:dyDescent="0.25">
      <c r="B2559" s="19"/>
    </row>
    <row r="2560" spans="2:2" x14ac:dyDescent="0.25">
      <c r="B2560" s="19"/>
    </row>
    <row r="2561" spans="2:2" x14ac:dyDescent="0.25">
      <c r="B2561" s="19"/>
    </row>
    <row r="2562" spans="2:2" x14ac:dyDescent="0.25">
      <c r="B2562" s="19"/>
    </row>
    <row r="2563" spans="2:2" x14ac:dyDescent="0.25">
      <c r="B2563" s="19"/>
    </row>
    <row r="2564" spans="2:2" x14ac:dyDescent="0.25">
      <c r="B2564" s="19"/>
    </row>
    <row r="2565" spans="2:2" x14ac:dyDescent="0.25">
      <c r="B2565" s="19"/>
    </row>
    <row r="2566" spans="2:2" x14ac:dyDescent="0.25">
      <c r="B2566" s="19"/>
    </row>
    <row r="2567" spans="2:2" x14ac:dyDescent="0.25">
      <c r="B2567" s="19"/>
    </row>
    <row r="2568" spans="2:2" x14ac:dyDescent="0.25">
      <c r="B2568" s="19"/>
    </row>
    <row r="2569" spans="2:2" x14ac:dyDescent="0.25">
      <c r="B2569" s="19"/>
    </row>
    <row r="2570" spans="2:2" x14ac:dyDescent="0.25">
      <c r="B2570" s="19"/>
    </row>
    <row r="2571" spans="2:2" x14ac:dyDescent="0.25">
      <c r="B2571" s="19"/>
    </row>
    <row r="2572" spans="2:2" x14ac:dyDescent="0.25">
      <c r="B2572" s="19"/>
    </row>
    <row r="2573" spans="2:2" x14ac:dyDescent="0.25">
      <c r="B2573" s="19"/>
    </row>
    <row r="2574" spans="2:2" x14ac:dyDescent="0.25">
      <c r="B2574" s="19"/>
    </row>
    <row r="2575" spans="2:2" x14ac:dyDescent="0.25">
      <c r="B2575" s="19"/>
    </row>
    <row r="2576" spans="2:2" x14ac:dyDescent="0.25">
      <c r="B2576" s="19"/>
    </row>
    <row r="2577" spans="2:2" x14ac:dyDescent="0.25">
      <c r="B2577" s="19"/>
    </row>
    <row r="2578" spans="2:2" x14ac:dyDescent="0.25">
      <c r="B2578" s="19"/>
    </row>
    <row r="2579" spans="2:2" x14ac:dyDescent="0.25">
      <c r="B2579" s="19"/>
    </row>
    <row r="2580" spans="2:2" x14ac:dyDescent="0.25">
      <c r="B2580" s="19"/>
    </row>
    <row r="2581" spans="2:2" x14ac:dyDescent="0.25">
      <c r="B2581" s="19"/>
    </row>
    <row r="2582" spans="2:2" x14ac:dyDescent="0.25">
      <c r="B2582" s="19"/>
    </row>
    <row r="2583" spans="2:2" x14ac:dyDescent="0.25">
      <c r="B2583" s="19"/>
    </row>
    <row r="2584" spans="2:2" x14ac:dyDescent="0.25">
      <c r="B2584" s="19"/>
    </row>
    <row r="2585" spans="2:2" x14ac:dyDescent="0.25">
      <c r="B2585" s="19"/>
    </row>
    <row r="2586" spans="2:2" x14ac:dyDescent="0.25">
      <c r="B2586" s="19"/>
    </row>
    <row r="2587" spans="2:2" x14ac:dyDescent="0.25">
      <c r="B2587" s="19"/>
    </row>
    <row r="2588" spans="2:2" x14ac:dyDescent="0.25">
      <c r="B2588" s="19"/>
    </row>
    <row r="2589" spans="2:2" x14ac:dyDescent="0.25">
      <c r="B2589" s="19"/>
    </row>
    <row r="2590" spans="2:2" x14ac:dyDescent="0.25">
      <c r="B2590" s="19"/>
    </row>
    <row r="2591" spans="2:2" x14ac:dyDescent="0.25">
      <c r="B2591" s="19"/>
    </row>
    <row r="2592" spans="2:2" x14ac:dyDescent="0.25">
      <c r="B2592" s="19"/>
    </row>
    <row r="2593" spans="2:2" x14ac:dyDescent="0.25">
      <c r="B2593" s="19"/>
    </row>
    <row r="2594" spans="2:2" x14ac:dyDescent="0.25">
      <c r="B2594" s="19"/>
    </row>
    <row r="2595" spans="2:2" x14ac:dyDescent="0.25">
      <c r="B2595" s="19"/>
    </row>
    <row r="2596" spans="2:2" x14ac:dyDescent="0.25">
      <c r="B2596" s="19"/>
    </row>
    <row r="2597" spans="2:2" x14ac:dyDescent="0.25">
      <c r="B2597" s="19"/>
    </row>
    <row r="2598" spans="2:2" x14ac:dyDescent="0.25">
      <c r="B2598" s="19"/>
    </row>
    <row r="2599" spans="2:2" x14ac:dyDescent="0.25">
      <c r="B2599" s="19"/>
    </row>
    <row r="2600" spans="2:2" x14ac:dyDescent="0.25">
      <c r="B2600" s="19"/>
    </row>
    <row r="2601" spans="2:2" x14ac:dyDescent="0.25">
      <c r="B2601" s="19"/>
    </row>
    <row r="2602" spans="2:2" x14ac:dyDescent="0.25">
      <c r="B2602" s="19"/>
    </row>
    <row r="2603" spans="2:2" x14ac:dyDescent="0.25">
      <c r="B2603" s="19"/>
    </row>
    <row r="2604" spans="2:2" x14ac:dyDescent="0.25">
      <c r="B2604" s="19"/>
    </row>
    <row r="2605" spans="2:2" x14ac:dyDescent="0.25">
      <c r="B2605" s="19"/>
    </row>
    <row r="2606" spans="2:2" x14ac:dyDescent="0.25">
      <c r="B2606" s="19"/>
    </row>
    <row r="2607" spans="2:2" x14ac:dyDescent="0.25">
      <c r="B2607" s="19"/>
    </row>
    <row r="2608" spans="2:2" x14ac:dyDescent="0.25">
      <c r="B2608" s="19"/>
    </row>
    <row r="2609" spans="2:2" x14ac:dyDescent="0.25">
      <c r="B2609" s="19"/>
    </row>
    <row r="2610" spans="2:2" x14ac:dyDescent="0.25">
      <c r="B2610" s="19"/>
    </row>
    <row r="2611" spans="2:2" x14ac:dyDescent="0.25">
      <c r="B2611" s="19"/>
    </row>
    <row r="2612" spans="2:2" x14ac:dyDescent="0.25">
      <c r="B2612" s="19"/>
    </row>
    <row r="2613" spans="2:2" x14ac:dyDescent="0.25">
      <c r="B2613" s="19"/>
    </row>
    <row r="2614" spans="2:2" x14ac:dyDescent="0.25">
      <c r="B2614" s="19"/>
    </row>
    <row r="2615" spans="2:2" x14ac:dyDescent="0.25">
      <c r="B2615" s="19"/>
    </row>
    <row r="2616" spans="2:2" x14ac:dyDescent="0.25">
      <c r="B2616" s="19"/>
    </row>
    <row r="2617" spans="2:2" x14ac:dyDescent="0.25">
      <c r="B2617" s="19"/>
    </row>
    <row r="2618" spans="2:2" x14ac:dyDescent="0.25">
      <c r="B2618" s="19"/>
    </row>
    <row r="2619" spans="2:2" x14ac:dyDescent="0.25">
      <c r="B2619" s="19"/>
    </row>
    <row r="2620" spans="2:2" x14ac:dyDescent="0.25">
      <c r="B2620" s="19"/>
    </row>
    <row r="2621" spans="2:2" x14ac:dyDescent="0.25">
      <c r="B2621" s="19"/>
    </row>
    <row r="2622" spans="2:2" x14ac:dyDescent="0.25">
      <c r="B2622" s="19"/>
    </row>
    <row r="2623" spans="2:2" x14ac:dyDescent="0.25">
      <c r="B2623" s="19"/>
    </row>
    <row r="2624" spans="2:2" x14ac:dyDescent="0.25">
      <c r="B2624" s="19"/>
    </row>
    <row r="2625" spans="2:2" x14ac:dyDescent="0.25">
      <c r="B2625" s="19"/>
    </row>
    <row r="2626" spans="2:2" x14ac:dyDescent="0.25">
      <c r="B2626" s="19"/>
    </row>
    <row r="2627" spans="2:2" x14ac:dyDescent="0.25">
      <c r="B2627" s="19"/>
    </row>
    <row r="2628" spans="2:2" x14ac:dyDescent="0.25">
      <c r="B2628" s="19"/>
    </row>
    <row r="2629" spans="2:2" x14ac:dyDescent="0.25">
      <c r="B2629" s="19"/>
    </row>
    <row r="2630" spans="2:2" x14ac:dyDescent="0.25">
      <c r="B2630" s="19"/>
    </row>
    <row r="2631" spans="2:2" x14ac:dyDescent="0.25">
      <c r="B2631" s="19"/>
    </row>
    <row r="2632" spans="2:2" x14ac:dyDescent="0.25">
      <c r="B2632" s="19"/>
    </row>
    <row r="2633" spans="2:2" x14ac:dyDescent="0.25">
      <c r="B2633" s="19"/>
    </row>
    <row r="2634" spans="2:2" x14ac:dyDescent="0.25">
      <c r="B2634" s="19"/>
    </row>
    <row r="2635" spans="2:2" x14ac:dyDescent="0.25">
      <c r="B2635" s="19"/>
    </row>
    <row r="2636" spans="2:2" x14ac:dyDescent="0.25">
      <c r="B2636" s="19"/>
    </row>
    <row r="2637" spans="2:2" x14ac:dyDescent="0.25">
      <c r="B2637" s="19"/>
    </row>
    <row r="2638" spans="2:2" x14ac:dyDescent="0.25">
      <c r="B2638" s="19"/>
    </row>
    <row r="2639" spans="2:2" x14ac:dyDescent="0.25">
      <c r="B2639" s="19"/>
    </row>
    <row r="2640" spans="2:2" x14ac:dyDescent="0.25">
      <c r="B2640" s="19"/>
    </row>
    <row r="2641" spans="2:2" x14ac:dyDescent="0.25">
      <c r="B2641" s="19"/>
    </row>
    <row r="2642" spans="2:2" x14ac:dyDescent="0.25">
      <c r="B2642" s="19"/>
    </row>
    <row r="2643" spans="2:2" x14ac:dyDescent="0.25">
      <c r="B2643" s="19"/>
    </row>
    <row r="2644" spans="2:2" x14ac:dyDescent="0.25">
      <c r="B2644" s="19"/>
    </row>
    <row r="2645" spans="2:2" x14ac:dyDescent="0.25">
      <c r="B2645" s="19"/>
    </row>
    <row r="2646" spans="2:2" x14ac:dyDescent="0.25">
      <c r="B2646" s="19"/>
    </row>
    <row r="2647" spans="2:2" x14ac:dyDescent="0.25">
      <c r="B2647" s="19"/>
    </row>
    <row r="2648" spans="2:2" x14ac:dyDescent="0.25">
      <c r="B2648" s="19"/>
    </row>
    <row r="2649" spans="2:2" x14ac:dyDescent="0.25">
      <c r="B2649" s="19"/>
    </row>
    <row r="2650" spans="2:2" x14ac:dyDescent="0.25">
      <c r="B2650" s="19"/>
    </row>
    <row r="2651" spans="2:2" x14ac:dyDescent="0.25">
      <c r="B2651" s="19"/>
    </row>
    <row r="2652" spans="2:2" x14ac:dyDescent="0.25">
      <c r="B2652" s="19"/>
    </row>
    <row r="2653" spans="2:2" x14ac:dyDescent="0.25">
      <c r="B2653" s="19"/>
    </row>
    <row r="2654" spans="2:2" x14ac:dyDescent="0.25">
      <c r="B2654" s="19"/>
    </row>
    <row r="2655" spans="2:2" x14ac:dyDescent="0.25">
      <c r="B2655" s="19"/>
    </row>
    <row r="2656" spans="2:2" x14ac:dyDescent="0.25">
      <c r="B2656" s="19"/>
    </row>
    <row r="2657" spans="2:2" x14ac:dyDescent="0.25">
      <c r="B2657" s="19"/>
    </row>
    <row r="2658" spans="2:2" x14ac:dyDescent="0.25">
      <c r="B2658" s="19"/>
    </row>
    <row r="2659" spans="2:2" x14ac:dyDescent="0.25">
      <c r="B2659" s="19"/>
    </row>
    <row r="2660" spans="2:2" x14ac:dyDescent="0.25">
      <c r="B2660" s="19"/>
    </row>
    <row r="2661" spans="2:2" x14ac:dyDescent="0.25">
      <c r="B2661" s="19"/>
    </row>
    <row r="2662" spans="2:2" x14ac:dyDescent="0.25">
      <c r="B2662" s="19"/>
    </row>
    <row r="2663" spans="2:2" x14ac:dyDescent="0.25">
      <c r="B2663" s="19"/>
    </row>
    <row r="2664" spans="2:2" x14ac:dyDescent="0.25">
      <c r="B2664" s="19"/>
    </row>
    <row r="2665" spans="2:2" x14ac:dyDescent="0.25">
      <c r="B2665" s="19"/>
    </row>
    <row r="2666" spans="2:2" x14ac:dyDescent="0.25">
      <c r="B2666" s="19"/>
    </row>
    <row r="2667" spans="2:2" x14ac:dyDescent="0.25">
      <c r="B2667" s="19"/>
    </row>
    <row r="2668" spans="2:2" x14ac:dyDescent="0.25">
      <c r="B2668" s="19"/>
    </row>
    <row r="2669" spans="2:2" x14ac:dyDescent="0.25">
      <c r="B2669" s="19"/>
    </row>
    <row r="2670" spans="2:2" x14ac:dyDescent="0.25">
      <c r="B2670" s="19"/>
    </row>
    <row r="2671" spans="2:2" x14ac:dyDescent="0.25">
      <c r="B2671" s="19"/>
    </row>
    <row r="2672" spans="2:2" x14ac:dyDescent="0.25">
      <c r="B2672" s="19"/>
    </row>
    <row r="2673" spans="2:2" x14ac:dyDescent="0.25">
      <c r="B2673" s="19"/>
    </row>
    <row r="2674" spans="2:2" x14ac:dyDescent="0.25">
      <c r="B2674" s="19"/>
    </row>
    <row r="2675" spans="2:2" x14ac:dyDescent="0.25">
      <c r="B2675" s="19"/>
    </row>
    <row r="2676" spans="2:2" x14ac:dyDescent="0.25">
      <c r="B2676" s="19"/>
    </row>
    <row r="2677" spans="2:2" x14ac:dyDescent="0.25">
      <c r="B2677" s="19"/>
    </row>
    <row r="2678" spans="2:2" x14ac:dyDescent="0.25">
      <c r="B2678" s="19"/>
    </row>
    <row r="2679" spans="2:2" x14ac:dyDescent="0.25">
      <c r="B2679" s="19"/>
    </row>
    <row r="2680" spans="2:2" x14ac:dyDescent="0.25">
      <c r="B2680" s="19"/>
    </row>
    <row r="2681" spans="2:2" x14ac:dyDescent="0.25">
      <c r="B2681" s="19"/>
    </row>
    <row r="2682" spans="2:2" x14ac:dyDescent="0.25">
      <c r="B2682" s="19"/>
    </row>
    <row r="2683" spans="2:2" x14ac:dyDescent="0.25">
      <c r="B2683" s="19"/>
    </row>
    <row r="2684" spans="2:2" x14ac:dyDescent="0.25">
      <c r="B2684" s="19"/>
    </row>
    <row r="2685" spans="2:2" x14ac:dyDescent="0.25">
      <c r="B2685" s="19"/>
    </row>
    <row r="2686" spans="2:2" x14ac:dyDescent="0.25">
      <c r="B2686" s="19"/>
    </row>
    <row r="2687" spans="2:2" x14ac:dyDescent="0.25">
      <c r="B2687" s="19"/>
    </row>
    <row r="2688" spans="2:2" x14ac:dyDescent="0.25">
      <c r="B2688" s="19"/>
    </row>
    <row r="2689" spans="2:2" x14ac:dyDescent="0.25">
      <c r="B2689" s="19"/>
    </row>
    <row r="2690" spans="2:2" x14ac:dyDescent="0.25">
      <c r="B2690" s="19"/>
    </row>
    <row r="2691" spans="2:2" x14ac:dyDescent="0.25">
      <c r="B2691" s="19"/>
    </row>
    <row r="2692" spans="2:2" x14ac:dyDescent="0.25">
      <c r="B2692" s="19"/>
    </row>
    <row r="2693" spans="2:2" x14ac:dyDescent="0.25">
      <c r="B2693" s="19"/>
    </row>
    <row r="2694" spans="2:2" x14ac:dyDescent="0.25">
      <c r="B2694" s="19"/>
    </row>
    <row r="2695" spans="2:2" x14ac:dyDescent="0.25">
      <c r="B2695" s="19"/>
    </row>
    <row r="2696" spans="2:2" x14ac:dyDescent="0.25">
      <c r="B2696" s="19"/>
    </row>
    <row r="2697" spans="2:2" x14ac:dyDescent="0.25">
      <c r="B2697" s="19"/>
    </row>
    <row r="2698" spans="2:2" x14ac:dyDescent="0.25">
      <c r="B2698" s="19"/>
    </row>
    <row r="2699" spans="2:2" x14ac:dyDescent="0.25">
      <c r="B2699" s="19"/>
    </row>
    <row r="2700" spans="2:2" x14ac:dyDescent="0.25">
      <c r="B2700" s="19"/>
    </row>
    <row r="2701" spans="2:2" x14ac:dyDescent="0.25">
      <c r="B2701" s="19"/>
    </row>
    <row r="2702" spans="2:2" x14ac:dyDescent="0.25">
      <c r="B2702" s="19"/>
    </row>
    <row r="2703" spans="2:2" x14ac:dyDescent="0.25">
      <c r="B2703" s="19"/>
    </row>
    <row r="2704" spans="2:2" x14ac:dyDescent="0.25">
      <c r="B2704" s="19"/>
    </row>
    <row r="2705" spans="2:2" x14ac:dyDescent="0.25">
      <c r="B2705" s="19"/>
    </row>
    <row r="2706" spans="2:2" x14ac:dyDescent="0.25">
      <c r="B2706" s="19"/>
    </row>
    <row r="2707" spans="2:2" x14ac:dyDescent="0.25">
      <c r="B2707" s="19"/>
    </row>
    <row r="2708" spans="2:2" x14ac:dyDescent="0.25">
      <c r="B2708" s="19"/>
    </row>
    <row r="2709" spans="2:2" x14ac:dyDescent="0.25">
      <c r="B2709" s="19"/>
    </row>
    <row r="2710" spans="2:2" x14ac:dyDescent="0.25">
      <c r="B2710" s="19"/>
    </row>
    <row r="2711" spans="2:2" x14ac:dyDescent="0.25">
      <c r="B2711" s="19"/>
    </row>
    <row r="2712" spans="2:2" x14ac:dyDescent="0.25">
      <c r="B2712" s="19"/>
    </row>
    <row r="2713" spans="2:2" x14ac:dyDescent="0.25">
      <c r="B2713" s="19"/>
    </row>
    <row r="2714" spans="2:2" x14ac:dyDescent="0.25">
      <c r="B2714" s="19"/>
    </row>
    <row r="2715" spans="2:2" x14ac:dyDescent="0.25">
      <c r="B2715" s="19"/>
    </row>
    <row r="2716" spans="2:2" x14ac:dyDescent="0.25">
      <c r="B2716" s="19"/>
    </row>
    <row r="2717" spans="2:2" x14ac:dyDescent="0.25">
      <c r="B2717" s="19"/>
    </row>
    <row r="2718" spans="2:2" x14ac:dyDescent="0.25">
      <c r="B2718" s="19"/>
    </row>
    <row r="2719" spans="2:2" x14ac:dyDescent="0.25">
      <c r="B2719" s="19"/>
    </row>
    <row r="2720" spans="2:2" x14ac:dyDescent="0.25">
      <c r="B2720" s="19"/>
    </row>
    <row r="2721" spans="2:2" x14ac:dyDescent="0.25">
      <c r="B2721" s="19"/>
    </row>
    <row r="2722" spans="2:2" x14ac:dyDescent="0.25">
      <c r="B2722" s="19"/>
    </row>
    <row r="2723" spans="2:2" x14ac:dyDescent="0.25">
      <c r="B2723" s="19"/>
    </row>
    <row r="2724" spans="2:2" x14ac:dyDescent="0.25">
      <c r="B2724" s="19"/>
    </row>
    <row r="2725" spans="2:2" x14ac:dyDescent="0.25">
      <c r="B2725" s="19"/>
    </row>
    <row r="2726" spans="2:2" x14ac:dyDescent="0.25">
      <c r="B2726" s="19"/>
    </row>
    <row r="2727" spans="2:2" x14ac:dyDescent="0.25">
      <c r="B2727" s="19"/>
    </row>
    <row r="2728" spans="2:2" x14ac:dyDescent="0.25">
      <c r="B2728" s="19"/>
    </row>
    <row r="2729" spans="2:2" x14ac:dyDescent="0.25">
      <c r="B2729" s="19"/>
    </row>
    <row r="2730" spans="2:2" x14ac:dyDescent="0.25">
      <c r="B2730" s="19"/>
    </row>
    <row r="2731" spans="2:2" x14ac:dyDescent="0.25">
      <c r="B2731" s="19"/>
    </row>
    <row r="2732" spans="2:2" x14ac:dyDescent="0.25">
      <c r="B2732" s="19"/>
    </row>
    <row r="2733" spans="2:2" x14ac:dyDescent="0.25">
      <c r="B2733" s="19"/>
    </row>
    <row r="2734" spans="2:2" x14ac:dyDescent="0.25">
      <c r="B2734" s="19"/>
    </row>
    <row r="2735" spans="2:2" x14ac:dyDescent="0.25">
      <c r="B2735" s="19"/>
    </row>
    <row r="2736" spans="2:2" x14ac:dyDescent="0.25">
      <c r="B2736" s="19"/>
    </row>
    <row r="2737" spans="2:2" x14ac:dyDescent="0.25">
      <c r="B2737" s="19"/>
    </row>
    <row r="2738" spans="2:2" x14ac:dyDescent="0.25">
      <c r="B2738" s="19"/>
    </row>
    <row r="2739" spans="2:2" x14ac:dyDescent="0.25">
      <c r="B2739" s="19"/>
    </row>
    <row r="2740" spans="2:2" x14ac:dyDescent="0.25">
      <c r="B2740" s="19"/>
    </row>
    <row r="2741" spans="2:2" x14ac:dyDescent="0.25">
      <c r="B2741" s="19"/>
    </row>
    <row r="2742" spans="2:2" x14ac:dyDescent="0.25">
      <c r="B2742" s="19"/>
    </row>
    <row r="2743" spans="2:2" x14ac:dyDescent="0.25">
      <c r="B2743" s="19"/>
    </row>
    <row r="2744" spans="2:2" x14ac:dyDescent="0.25">
      <c r="B2744" s="19"/>
    </row>
    <row r="2745" spans="2:2" x14ac:dyDescent="0.25">
      <c r="B2745" s="19"/>
    </row>
    <row r="2746" spans="2:2" x14ac:dyDescent="0.25">
      <c r="B2746" s="19"/>
    </row>
    <row r="2747" spans="2:2" x14ac:dyDescent="0.25">
      <c r="B2747" s="19"/>
    </row>
    <row r="2748" spans="2:2" x14ac:dyDescent="0.25">
      <c r="B2748" s="19"/>
    </row>
    <row r="2749" spans="2:2" x14ac:dyDescent="0.25">
      <c r="B2749" s="19"/>
    </row>
    <row r="2750" spans="2:2" x14ac:dyDescent="0.25">
      <c r="B2750" s="19"/>
    </row>
    <row r="2751" spans="2:2" x14ac:dyDescent="0.25">
      <c r="B2751" s="19"/>
    </row>
    <row r="2752" spans="2:2" x14ac:dyDescent="0.25">
      <c r="B2752" s="19"/>
    </row>
    <row r="2753" spans="2:2" x14ac:dyDescent="0.25">
      <c r="B2753" s="19"/>
    </row>
    <row r="2754" spans="2:2" x14ac:dyDescent="0.25">
      <c r="B2754" s="19"/>
    </row>
    <row r="2755" spans="2:2" x14ac:dyDescent="0.25">
      <c r="B2755" s="19"/>
    </row>
    <row r="2756" spans="2:2" x14ac:dyDescent="0.25">
      <c r="B2756" s="19"/>
    </row>
    <row r="2757" spans="2:2" x14ac:dyDescent="0.25">
      <c r="B2757" s="19"/>
    </row>
    <row r="2758" spans="2:2" x14ac:dyDescent="0.25">
      <c r="B2758" s="19"/>
    </row>
    <row r="2759" spans="2:2" x14ac:dyDescent="0.25">
      <c r="B2759" s="19"/>
    </row>
    <row r="2760" spans="2:2" x14ac:dyDescent="0.25">
      <c r="B2760" s="19"/>
    </row>
    <row r="2761" spans="2:2" x14ac:dyDescent="0.25">
      <c r="B2761" s="19"/>
    </row>
    <row r="2762" spans="2:2" x14ac:dyDescent="0.25">
      <c r="B2762" s="19"/>
    </row>
    <row r="2763" spans="2:2" x14ac:dyDescent="0.25">
      <c r="B2763" s="19"/>
    </row>
    <row r="2764" spans="2:2" x14ac:dyDescent="0.25">
      <c r="B2764" s="19"/>
    </row>
    <row r="2765" spans="2:2" x14ac:dyDescent="0.25">
      <c r="B2765" s="19"/>
    </row>
    <row r="2766" spans="2:2" x14ac:dyDescent="0.25">
      <c r="B2766" s="19"/>
    </row>
    <row r="2767" spans="2:2" x14ac:dyDescent="0.25">
      <c r="B2767" s="19"/>
    </row>
    <row r="2768" spans="2:2" x14ac:dyDescent="0.25">
      <c r="B2768" s="19"/>
    </row>
    <row r="2769" spans="2:2" x14ac:dyDescent="0.25">
      <c r="B2769" s="19"/>
    </row>
    <row r="2770" spans="2:2" x14ac:dyDescent="0.25">
      <c r="B2770" s="19"/>
    </row>
    <row r="2771" spans="2:2" x14ac:dyDescent="0.25">
      <c r="B2771" s="19"/>
    </row>
    <row r="2772" spans="2:2" x14ac:dyDescent="0.25">
      <c r="B2772" s="19"/>
    </row>
    <row r="2773" spans="2:2" x14ac:dyDescent="0.25">
      <c r="B2773" s="19"/>
    </row>
    <row r="2774" spans="2:2" x14ac:dyDescent="0.25">
      <c r="B2774" s="19"/>
    </row>
    <row r="2775" spans="2:2" x14ac:dyDescent="0.25">
      <c r="B2775" s="19"/>
    </row>
    <row r="2776" spans="2:2" x14ac:dyDescent="0.25">
      <c r="B2776" s="19"/>
    </row>
    <row r="2777" spans="2:2" x14ac:dyDescent="0.25">
      <c r="B2777" s="19"/>
    </row>
    <row r="2778" spans="2:2" x14ac:dyDescent="0.25">
      <c r="B2778" s="19"/>
    </row>
    <row r="2779" spans="2:2" x14ac:dyDescent="0.25">
      <c r="B2779" s="19"/>
    </row>
    <row r="2780" spans="2:2" x14ac:dyDescent="0.25">
      <c r="B2780" s="19"/>
    </row>
    <row r="2781" spans="2:2" x14ac:dyDescent="0.25">
      <c r="B2781" s="19"/>
    </row>
    <row r="2782" spans="2:2" x14ac:dyDescent="0.25">
      <c r="B2782" s="19"/>
    </row>
    <row r="2783" spans="2:2" x14ac:dyDescent="0.25">
      <c r="B2783" s="19"/>
    </row>
    <row r="2784" spans="2:2" x14ac:dyDescent="0.25">
      <c r="B2784" s="19"/>
    </row>
    <row r="2785" spans="2:2" x14ac:dyDescent="0.25">
      <c r="B2785" s="19"/>
    </row>
    <row r="2786" spans="2:2" x14ac:dyDescent="0.25">
      <c r="B2786" s="19"/>
    </row>
    <row r="2787" spans="2:2" x14ac:dyDescent="0.25">
      <c r="B2787" s="19"/>
    </row>
    <row r="2788" spans="2:2" x14ac:dyDescent="0.25">
      <c r="B2788" s="19"/>
    </row>
    <row r="2789" spans="2:2" x14ac:dyDescent="0.25">
      <c r="B2789" s="19"/>
    </row>
    <row r="2790" spans="2:2" x14ac:dyDescent="0.25">
      <c r="B2790" s="19"/>
    </row>
    <row r="2791" spans="2:2" x14ac:dyDescent="0.25">
      <c r="B2791" s="19"/>
    </row>
    <row r="2792" spans="2:2" x14ac:dyDescent="0.25">
      <c r="B2792" s="19"/>
    </row>
    <row r="2793" spans="2:2" x14ac:dyDescent="0.25">
      <c r="B2793" s="19"/>
    </row>
    <row r="2794" spans="2:2" x14ac:dyDescent="0.25">
      <c r="B2794" s="19"/>
    </row>
    <row r="2795" spans="2:2" x14ac:dyDescent="0.25">
      <c r="B2795" s="19"/>
    </row>
    <row r="2796" spans="2:2" x14ac:dyDescent="0.25">
      <c r="B2796" s="19"/>
    </row>
    <row r="2797" spans="2:2" x14ac:dyDescent="0.25">
      <c r="B2797" s="19"/>
    </row>
    <row r="2798" spans="2:2" x14ac:dyDescent="0.25">
      <c r="B2798" s="19"/>
    </row>
    <row r="2799" spans="2:2" x14ac:dyDescent="0.25">
      <c r="B2799" s="19"/>
    </row>
    <row r="2800" spans="2:2" x14ac:dyDescent="0.25">
      <c r="B2800" s="19"/>
    </row>
    <row r="2801" spans="2:2" x14ac:dyDescent="0.25">
      <c r="B2801" s="19"/>
    </row>
    <row r="2802" spans="2:2" x14ac:dyDescent="0.25">
      <c r="B2802" s="19"/>
    </row>
    <row r="2803" spans="2:2" x14ac:dyDescent="0.25">
      <c r="B2803" s="19"/>
    </row>
    <row r="2804" spans="2:2" x14ac:dyDescent="0.25">
      <c r="B2804" s="19"/>
    </row>
    <row r="2805" spans="2:2" x14ac:dyDescent="0.25">
      <c r="B2805" s="19"/>
    </row>
    <row r="2806" spans="2:2" x14ac:dyDescent="0.25">
      <c r="B2806" s="19"/>
    </row>
    <row r="2807" spans="2:2" x14ac:dyDescent="0.25">
      <c r="B2807" s="19"/>
    </row>
    <row r="2808" spans="2:2" x14ac:dyDescent="0.25">
      <c r="B2808" s="19"/>
    </row>
    <row r="2809" spans="2:2" x14ac:dyDescent="0.25">
      <c r="B2809" s="19"/>
    </row>
    <row r="2810" spans="2:2" x14ac:dyDescent="0.25">
      <c r="B2810" s="19"/>
    </row>
    <row r="2811" spans="2:2" x14ac:dyDescent="0.25">
      <c r="B2811" s="19"/>
    </row>
    <row r="2812" spans="2:2" x14ac:dyDescent="0.25">
      <c r="B2812" s="19"/>
    </row>
    <row r="2813" spans="2:2" x14ac:dyDescent="0.25">
      <c r="B2813" s="19"/>
    </row>
    <row r="2814" spans="2:2" x14ac:dyDescent="0.25">
      <c r="B2814" s="19"/>
    </row>
    <row r="2815" spans="2:2" x14ac:dyDescent="0.25">
      <c r="B2815" s="19"/>
    </row>
    <row r="2816" spans="2:2" x14ac:dyDescent="0.25">
      <c r="B2816" s="19"/>
    </row>
    <row r="2817" spans="2:2" x14ac:dyDescent="0.25">
      <c r="B2817" s="19"/>
    </row>
    <row r="2818" spans="2:2" x14ac:dyDescent="0.25">
      <c r="B2818" s="19"/>
    </row>
    <row r="2819" spans="2:2" x14ac:dyDescent="0.25">
      <c r="B2819" s="19"/>
    </row>
    <row r="2820" spans="2:2" x14ac:dyDescent="0.25">
      <c r="B2820" s="19"/>
    </row>
    <row r="2821" spans="2:2" x14ac:dyDescent="0.25">
      <c r="B2821" s="19"/>
    </row>
    <row r="2822" spans="2:2" x14ac:dyDescent="0.25">
      <c r="B2822" s="19"/>
    </row>
    <row r="2823" spans="2:2" x14ac:dyDescent="0.25">
      <c r="B2823" s="19"/>
    </row>
    <row r="2824" spans="2:2" x14ac:dyDescent="0.25">
      <c r="B2824" s="19"/>
    </row>
    <row r="2825" spans="2:2" x14ac:dyDescent="0.25">
      <c r="B2825" s="19"/>
    </row>
    <row r="2826" spans="2:2" x14ac:dyDescent="0.25">
      <c r="B2826" s="19"/>
    </row>
    <row r="2827" spans="2:2" x14ac:dyDescent="0.25">
      <c r="B2827" s="19"/>
    </row>
    <row r="2828" spans="2:2" x14ac:dyDescent="0.25">
      <c r="B2828" s="19"/>
    </row>
    <row r="2829" spans="2:2" x14ac:dyDescent="0.25">
      <c r="B2829" s="19"/>
    </row>
    <row r="2830" spans="2:2" x14ac:dyDescent="0.25">
      <c r="B2830" s="19"/>
    </row>
    <row r="2831" spans="2:2" x14ac:dyDescent="0.25">
      <c r="B2831" s="19"/>
    </row>
    <row r="2832" spans="2:2" x14ac:dyDescent="0.25">
      <c r="B2832" s="19"/>
    </row>
    <row r="2833" spans="2:2" x14ac:dyDescent="0.25">
      <c r="B2833" s="19"/>
    </row>
    <row r="2834" spans="2:2" x14ac:dyDescent="0.25">
      <c r="B2834" s="19"/>
    </row>
    <row r="2835" spans="2:2" x14ac:dyDescent="0.25">
      <c r="B2835" s="19"/>
    </row>
    <row r="2836" spans="2:2" x14ac:dyDescent="0.25">
      <c r="B2836" s="19"/>
    </row>
    <row r="2837" spans="2:2" x14ac:dyDescent="0.25">
      <c r="B2837" s="19"/>
    </row>
    <row r="2838" spans="2:2" x14ac:dyDescent="0.25">
      <c r="B2838" s="19"/>
    </row>
    <row r="2839" spans="2:2" x14ac:dyDescent="0.25">
      <c r="B2839" s="19"/>
    </row>
    <row r="2840" spans="2:2" x14ac:dyDescent="0.25">
      <c r="B2840" s="19"/>
    </row>
    <row r="2841" spans="2:2" x14ac:dyDescent="0.25">
      <c r="B2841" s="19"/>
    </row>
    <row r="2842" spans="2:2" x14ac:dyDescent="0.25">
      <c r="B2842" s="19"/>
    </row>
    <row r="2843" spans="2:2" x14ac:dyDescent="0.25">
      <c r="B2843" s="19"/>
    </row>
    <row r="2844" spans="2:2" x14ac:dyDescent="0.25">
      <c r="B2844" s="19"/>
    </row>
    <row r="2845" spans="2:2" x14ac:dyDescent="0.25">
      <c r="B2845" s="19"/>
    </row>
    <row r="2846" spans="2:2" x14ac:dyDescent="0.25">
      <c r="B2846" s="19"/>
    </row>
    <row r="2847" spans="2:2" x14ac:dyDescent="0.25">
      <c r="B2847" s="19"/>
    </row>
    <row r="2848" spans="2:2" x14ac:dyDescent="0.25">
      <c r="B2848" s="19"/>
    </row>
    <row r="2849" spans="2:2" x14ac:dyDescent="0.25">
      <c r="B2849" s="19"/>
    </row>
    <row r="2850" spans="2:2" x14ac:dyDescent="0.25">
      <c r="B2850" s="19"/>
    </row>
    <row r="2851" spans="2:2" x14ac:dyDescent="0.25">
      <c r="B2851" s="19"/>
    </row>
    <row r="2852" spans="2:2" x14ac:dyDescent="0.25">
      <c r="B2852" s="19"/>
    </row>
    <row r="2853" spans="2:2" x14ac:dyDescent="0.25">
      <c r="B2853" s="19"/>
    </row>
    <row r="2854" spans="2:2" x14ac:dyDescent="0.25">
      <c r="B2854" s="19"/>
    </row>
    <row r="2855" spans="2:2" x14ac:dyDescent="0.25">
      <c r="B2855" s="19"/>
    </row>
    <row r="2856" spans="2:2" x14ac:dyDescent="0.25">
      <c r="B2856" s="19"/>
    </row>
    <row r="2857" spans="2:2" x14ac:dyDescent="0.25">
      <c r="B2857" s="19"/>
    </row>
    <row r="2858" spans="2:2" x14ac:dyDescent="0.25">
      <c r="B2858" s="19"/>
    </row>
    <row r="2859" spans="2:2" x14ac:dyDescent="0.25">
      <c r="B2859" s="19"/>
    </row>
    <row r="2860" spans="2:2" x14ac:dyDescent="0.25">
      <c r="B2860" s="19"/>
    </row>
    <row r="2861" spans="2:2" x14ac:dyDescent="0.25">
      <c r="B2861" s="19"/>
    </row>
    <row r="2862" spans="2:2" x14ac:dyDescent="0.25">
      <c r="B2862" s="19"/>
    </row>
    <row r="2863" spans="2:2" x14ac:dyDescent="0.25">
      <c r="B2863" s="19"/>
    </row>
    <row r="2864" spans="2:2" x14ac:dyDescent="0.25">
      <c r="B2864" s="19"/>
    </row>
    <row r="2865" spans="2:2" x14ac:dyDescent="0.25">
      <c r="B2865" s="19"/>
    </row>
    <row r="2866" spans="2:2" x14ac:dyDescent="0.25">
      <c r="B2866" s="19"/>
    </row>
    <row r="2867" spans="2:2" x14ac:dyDescent="0.25">
      <c r="B2867" s="19"/>
    </row>
    <row r="2868" spans="2:2" x14ac:dyDescent="0.25">
      <c r="B2868" s="19"/>
    </row>
    <row r="2869" spans="2:2" x14ac:dyDescent="0.25">
      <c r="B2869" s="19"/>
    </row>
    <row r="2870" spans="2:2" x14ac:dyDescent="0.25">
      <c r="B2870" s="19"/>
    </row>
    <row r="2871" spans="2:2" x14ac:dyDescent="0.25">
      <c r="B2871" s="19"/>
    </row>
    <row r="2872" spans="2:2" x14ac:dyDescent="0.25">
      <c r="B2872" s="19"/>
    </row>
    <row r="2873" spans="2:2" x14ac:dyDescent="0.25">
      <c r="B2873" s="19"/>
    </row>
    <row r="2874" spans="2:2" x14ac:dyDescent="0.25">
      <c r="B2874" s="19"/>
    </row>
    <row r="2875" spans="2:2" x14ac:dyDescent="0.25">
      <c r="B2875" s="19"/>
    </row>
    <row r="2876" spans="2:2" x14ac:dyDescent="0.25">
      <c r="B2876" s="19"/>
    </row>
    <row r="2877" spans="2:2" x14ac:dyDescent="0.25">
      <c r="B2877" s="19"/>
    </row>
    <row r="2878" spans="2:2" x14ac:dyDescent="0.25">
      <c r="B2878" s="19"/>
    </row>
    <row r="2879" spans="2:2" x14ac:dyDescent="0.25">
      <c r="B2879" s="19"/>
    </row>
    <row r="2880" spans="2:2" x14ac:dyDescent="0.25">
      <c r="B2880" s="19"/>
    </row>
    <row r="2881" spans="2:2" x14ac:dyDescent="0.25">
      <c r="B2881" s="19"/>
    </row>
    <row r="2882" spans="2:2" x14ac:dyDescent="0.25">
      <c r="B2882" s="19"/>
    </row>
    <row r="2883" spans="2:2" x14ac:dyDescent="0.25">
      <c r="B2883" s="19"/>
    </row>
    <row r="2884" spans="2:2" x14ac:dyDescent="0.25">
      <c r="B2884" s="19"/>
    </row>
    <row r="2885" spans="2:2" x14ac:dyDescent="0.25">
      <c r="B2885" s="19"/>
    </row>
    <row r="2886" spans="2:2" x14ac:dyDescent="0.25">
      <c r="B2886" s="19"/>
    </row>
    <row r="2887" spans="2:2" x14ac:dyDescent="0.25">
      <c r="B2887" s="19"/>
    </row>
    <row r="2888" spans="2:2" x14ac:dyDescent="0.25">
      <c r="B2888" s="19"/>
    </row>
    <row r="2889" spans="2:2" x14ac:dyDescent="0.25">
      <c r="B2889" s="19"/>
    </row>
    <row r="2890" spans="2:2" x14ac:dyDescent="0.25">
      <c r="B2890" s="19"/>
    </row>
    <row r="2891" spans="2:2" x14ac:dyDescent="0.25">
      <c r="B2891" s="19"/>
    </row>
    <row r="2892" spans="2:2" x14ac:dyDescent="0.25">
      <c r="B2892" s="19"/>
    </row>
    <row r="2893" spans="2:2" x14ac:dyDescent="0.25">
      <c r="B2893" s="19"/>
    </row>
    <row r="2894" spans="2:2" x14ac:dyDescent="0.25">
      <c r="B2894" s="19"/>
    </row>
    <row r="2895" spans="2:2" x14ac:dyDescent="0.25">
      <c r="B2895" s="19"/>
    </row>
    <row r="2896" spans="2:2" x14ac:dyDescent="0.25">
      <c r="B2896" s="19"/>
    </row>
    <row r="2897" spans="2:2" x14ac:dyDescent="0.25">
      <c r="B2897" s="19"/>
    </row>
    <row r="2898" spans="2:2" x14ac:dyDescent="0.25">
      <c r="B2898" s="19"/>
    </row>
    <row r="2899" spans="2:2" x14ac:dyDescent="0.25">
      <c r="B2899" s="19"/>
    </row>
    <row r="2900" spans="2:2" x14ac:dyDescent="0.25">
      <c r="B2900" s="19"/>
    </row>
    <row r="2901" spans="2:2" x14ac:dyDescent="0.25">
      <c r="B2901" s="19"/>
    </row>
    <row r="2902" spans="2:2" x14ac:dyDescent="0.25">
      <c r="B2902" s="19"/>
    </row>
    <row r="2903" spans="2:2" x14ac:dyDescent="0.25">
      <c r="B2903" s="19"/>
    </row>
    <row r="2904" spans="2:2" x14ac:dyDescent="0.25">
      <c r="B2904" s="19"/>
    </row>
    <row r="2905" spans="2:2" x14ac:dyDescent="0.25">
      <c r="B2905" s="19"/>
    </row>
    <row r="2906" spans="2:2" x14ac:dyDescent="0.25">
      <c r="B2906" s="19"/>
    </row>
    <row r="2907" spans="2:2" x14ac:dyDescent="0.25">
      <c r="B2907" s="19"/>
    </row>
    <row r="2908" spans="2:2" x14ac:dyDescent="0.25">
      <c r="B2908" s="19"/>
    </row>
    <row r="2909" spans="2:2" x14ac:dyDescent="0.25">
      <c r="B2909" s="19"/>
    </row>
    <row r="2910" spans="2:2" x14ac:dyDescent="0.25">
      <c r="B2910" s="19"/>
    </row>
    <row r="2911" spans="2:2" x14ac:dyDescent="0.25">
      <c r="B2911" s="19"/>
    </row>
    <row r="2912" spans="2:2" x14ac:dyDescent="0.25">
      <c r="B2912" s="19"/>
    </row>
    <row r="2913" spans="2:2" x14ac:dyDescent="0.25">
      <c r="B2913" s="19"/>
    </row>
    <row r="2914" spans="2:2" x14ac:dyDescent="0.25">
      <c r="B2914" s="19"/>
    </row>
    <row r="2915" spans="2:2" x14ac:dyDescent="0.25">
      <c r="B2915" s="19"/>
    </row>
    <row r="2916" spans="2:2" x14ac:dyDescent="0.25">
      <c r="B2916" s="19"/>
    </row>
    <row r="2917" spans="2:2" x14ac:dyDescent="0.25">
      <c r="B2917" s="19"/>
    </row>
    <row r="2918" spans="2:2" x14ac:dyDescent="0.25">
      <c r="B2918" s="19"/>
    </row>
    <row r="2919" spans="2:2" x14ac:dyDescent="0.25">
      <c r="B2919" s="19"/>
    </row>
    <row r="2920" spans="2:2" x14ac:dyDescent="0.25">
      <c r="B2920" s="19"/>
    </row>
    <row r="2921" spans="2:2" x14ac:dyDescent="0.25">
      <c r="B2921" s="19"/>
    </row>
    <row r="2922" spans="2:2" x14ac:dyDescent="0.25">
      <c r="B2922" s="19"/>
    </row>
    <row r="2923" spans="2:2" x14ac:dyDescent="0.25">
      <c r="B2923" s="19"/>
    </row>
    <row r="2924" spans="2:2" x14ac:dyDescent="0.25">
      <c r="B2924" s="19"/>
    </row>
    <row r="2925" spans="2:2" x14ac:dyDescent="0.25">
      <c r="B2925" s="19"/>
    </row>
    <row r="2926" spans="2:2" x14ac:dyDescent="0.25">
      <c r="B2926" s="19"/>
    </row>
    <row r="2927" spans="2:2" x14ac:dyDescent="0.25">
      <c r="B2927" s="19"/>
    </row>
    <row r="2928" spans="2:2" x14ac:dyDescent="0.25">
      <c r="B2928" s="19"/>
    </row>
    <row r="2929" spans="2:2" x14ac:dyDescent="0.25">
      <c r="B2929" s="19"/>
    </row>
    <row r="2930" spans="2:2" x14ac:dyDescent="0.25">
      <c r="B2930" s="19"/>
    </row>
    <row r="2931" spans="2:2" x14ac:dyDescent="0.25">
      <c r="B2931" s="19"/>
    </row>
    <row r="2932" spans="2:2" x14ac:dyDescent="0.25">
      <c r="B2932" s="19"/>
    </row>
    <row r="2933" spans="2:2" x14ac:dyDescent="0.25">
      <c r="B2933" s="19"/>
    </row>
    <row r="2934" spans="2:2" x14ac:dyDescent="0.25">
      <c r="B2934" s="19"/>
    </row>
    <row r="2935" spans="2:2" x14ac:dyDescent="0.25">
      <c r="B2935" s="19"/>
    </row>
    <row r="2936" spans="2:2" x14ac:dyDescent="0.25">
      <c r="B2936" s="19"/>
    </row>
    <row r="2937" spans="2:2" x14ac:dyDescent="0.25">
      <c r="B2937" s="19"/>
    </row>
    <row r="2938" spans="2:2" x14ac:dyDescent="0.25">
      <c r="B2938" s="19"/>
    </row>
    <row r="2939" spans="2:2" x14ac:dyDescent="0.25">
      <c r="B2939" s="19"/>
    </row>
    <row r="2940" spans="2:2" x14ac:dyDescent="0.25">
      <c r="B2940" s="19"/>
    </row>
    <row r="2941" spans="2:2" x14ac:dyDescent="0.25">
      <c r="B2941" s="19"/>
    </row>
    <row r="2942" spans="2:2" x14ac:dyDescent="0.25">
      <c r="B2942" s="19"/>
    </row>
    <row r="2943" spans="2:2" x14ac:dyDescent="0.25">
      <c r="B2943" s="19"/>
    </row>
    <row r="2944" spans="2:2" x14ac:dyDescent="0.25">
      <c r="B2944" s="19"/>
    </row>
    <row r="2945" spans="2:2" x14ac:dyDescent="0.25">
      <c r="B2945" s="19"/>
    </row>
    <row r="2946" spans="2:2" x14ac:dyDescent="0.25">
      <c r="B2946" s="19"/>
    </row>
    <row r="2947" spans="2:2" x14ac:dyDescent="0.25">
      <c r="B2947" s="19"/>
    </row>
    <row r="2948" spans="2:2" x14ac:dyDescent="0.25">
      <c r="B2948" s="19"/>
    </row>
    <row r="2949" spans="2:2" x14ac:dyDescent="0.25">
      <c r="B2949" s="19"/>
    </row>
    <row r="2950" spans="2:2" x14ac:dyDescent="0.25">
      <c r="B2950" s="19"/>
    </row>
    <row r="2951" spans="2:2" x14ac:dyDescent="0.25">
      <c r="B2951" s="19"/>
    </row>
    <row r="2952" spans="2:2" x14ac:dyDescent="0.25">
      <c r="B2952" s="19"/>
    </row>
    <row r="2953" spans="2:2" x14ac:dyDescent="0.25">
      <c r="B2953" s="19"/>
    </row>
    <row r="2954" spans="2:2" x14ac:dyDescent="0.25">
      <c r="B2954" s="19"/>
    </row>
    <row r="2955" spans="2:2" x14ac:dyDescent="0.25">
      <c r="B2955" s="19"/>
    </row>
    <row r="2956" spans="2:2" x14ac:dyDescent="0.25">
      <c r="B2956" s="19"/>
    </row>
    <row r="2957" spans="2:2" x14ac:dyDescent="0.25">
      <c r="B2957" s="19"/>
    </row>
    <row r="2958" spans="2:2" x14ac:dyDescent="0.25">
      <c r="B2958" s="19"/>
    </row>
    <row r="2959" spans="2:2" x14ac:dyDescent="0.25">
      <c r="B2959" s="19"/>
    </row>
    <row r="2960" spans="2:2" x14ac:dyDescent="0.25">
      <c r="B2960" s="19"/>
    </row>
    <row r="2961" spans="2:2" x14ac:dyDescent="0.25">
      <c r="B2961" s="19"/>
    </row>
    <row r="2962" spans="2:2" x14ac:dyDescent="0.25">
      <c r="B2962" s="19"/>
    </row>
    <row r="2963" spans="2:2" x14ac:dyDescent="0.25">
      <c r="B2963" s="19"/>
    </row>
    <row r="2964" spans="2:2" x14ac:dyDescent="0.25">
      <c r="B2964" s="19"/>
    </row>
    <row r="2965" spans="2:2" x14ac:dyDescent="0.25">
      <c r="B2965" s="19"/>
    </row>
    <row r="2966" spans="2:2" x14ac:dyDescent="0.25">
      <c r="B2966" s="19"/>
    </row>
    <row r="2967" spans="2:2" x14ac:dyDescent="0.25">
      <c r="B2967" s="19"/>
    </row>
    <row r="2968" spans="2:2" x14ac:dyDescent="0.25">
      <c r="B2968" s="19"/>
    </row>
    <row r="2969" spans="2:2" x14ac:dyDescent="0.25">
      <c r="B2969" s="19"/>
    </row>
    <row r="2970" spans="2:2" x14ac:dyDescent="0.25">
      <c r="B2970" s="19"/>
    </row>
    <row r="2971" spans="2:2" x14ac:dyDescent="0.25">
      <c r="B2971" s="19"/>
    </row>
    <row r="2972" spans="2:2" x14ac:dyDescent="0.25">
      <c r="B2972" s="19"/>
    </row>
    <row r="2973" spans="2:2" x14ac:dyDescent="0.25">
      <c r="B2973" s="19"/>
    </row>
    <row r="2974" spans="2:2" x14ac:dyDescent="0.25">
      <c r="B2974" s="19"/>
    </row>
    <row r="2975" spans="2:2" x14ac:dyDescent="0.25">
      <c r="B2975" s="19"/>
    </row>
    <row r="2976" spans="2:2" x14ac:dyDescent="0.25">
      <c r="B2976" s="19"/>
    </row>
    <row r="2977" spans="2:2" x14ac:dyDescent="0.25">
      <c r="B2977" s="19"/>
    </row>
    <row r="2978" spans="2:2" x14ac:dyDescent="0.25">
      <c r="B2978" s="19"/>
    </row>
    <row r="2979" spans="2:2" x14ac:dyDescent="0.25">
      <c r="B2979" s="19"/>
    </row>
    <row r="2980" spans="2:2" x14ac:dyDescent="0.25">
      <c r="B2980" s="19"/>
    </row>
    <row r="2981" spans="2:2" x14ac:dyDescent="0.25">
      <c r="B2981" s="19"/>
    </row>
    <row r="2982" spans="2:2" x14ac:dyDescent="0.25">
      <c r="B2982" s="19"/>
    </row>
    <row r="2983" spans="2:2" x14ac:dyDescent="0.25">
      <c r="B2983" s="19"/>
    </row>
    <row r="2984" spans="2:2" x14ac:dyDescent="0.25">
      <c r="B2984" s="19"/>
    </row>
    <row r="2985" spans="2:2" x14ac:dyDescent="0.25">
      <c r="B2985" s="19"/>
    </row>
    <row r="2986" spans="2:2" x14ac:dyDescent="0.25">
      <c r="B2986" s="19"/>
    </row>
    <row r="2987" spans="2:2" x14ac:dyDescent="0.25">
      <c r="B2987" s="19"/>
    </row>
    <row r="2988" spans="2:2" x14ac:dyDescent="0.25">
      <c r="B2988" s="19"/>
    </row>
    <row r="2989" spans="2:2" x14ac:dyDescent="0.25">
      <c r="B2989" s="19"/>
    </row>
    <row r="2990" spans="2:2" x14ac:dyDescent="0.25">
      <c r="B2990" s="19"/>
    </row>
    <row r="2991" spans="2:2" x14ac:dyDescent="0.25">
      <c r="B2991" s="19"/>
    </row>
    <row r="2992" spans="2:2" x14ac:dyDescent="0.25">
      <c r="B2992" s="19"/>
    </row>
    <row r="2993" spans="2:2" x14ac:dyDescent="0.25">
      <c r="B2993" s="19"/>
    </row>
    <row r="2994" spans="2:2" x14ac:dyDescent="0.25">
      <c r="B2994" s="19"/>
    </row>
    <row r="2995" spans="2:2" x14ac:dyDescent="0.25">
      <c r="B2995" s="19"/>
    </row>
    <row r="2996" spans="2:2" x14ac:dyDescent="0.25">
      <c r="B2996" s="19"/>
    </row>
    <row r="2997" spans="2:2" x14ac:dyDescent="0.25">
      <c r="B2997" s="19"/>
    </row>
    <row r="2998" spans="2:2" x14ac:dyDescent="0.25">
      <c r="B2998" s="19"/>
    </row>
    <row r="2999" spans="2:2" x14ac:dyDescent="0.25">
      <c r="B2999" s="19"/>
    </row>
    <row r="3000" spans="2:2" x14ac:dyDescent="0.25">
      <c r="B3000" s="19"/>
    </row>
    <row r="3001" spans="2:2" x14ac:dyDescent="0.25">
      <c r="B3001" s="19"/>
    </row>
    <row r="3002" spans="2:2" x14ac:dyDescent="0.25">
      <c r="B3002" s="19"/>
    </row>
    <row r="3003" spans="2:2" x14ac:dyDescent="0.25">
      <c r="B3003" s="19"/>
    </row>
    <row r="3004" spans="2:2" x14ac:dyDescent="0.25">
      <c r="B3004" s="19"/>
    </row>
    <row r="3005" spans="2:2" x14ac:dyDescent="0.25">
      <c r="B3005" s="19"/>
    </row>
    <row r="3006" spans="2:2" x14ac:dyDescent="0.25">
      <c r="B3006" s="19"/>
    </row>
    <row r="3007" spans="2:2" x14ac:dyDescent="0.25">
      <c r="B3007" s="19"/>
    </row>
    <row r="3008" spans="2:2" x14ac:dyDescent="0.25">
      <c r="B3008" s="19"/>
    </row>
    <row r="3009" spans="2:2" x14ac:dyDescent="0.25">
      <c r="B3009" s="19"/>
    </row>
    <row r="3010" spans="2:2" x14ac:dyDescent="0.25">
      <c r="B3010" s="19"/>
    </row>
    <row r="3011" spans="2:2" x14ac:dyDescent="0.25">
      <c r="B3011" s="19"/>
    </row>
    <row r="3012" spans="2:2" x14ac:dyDescent="0.25">
      <c r="B3012" s="19"/>
    </row>
    <row r="3013" spans="2:2" x14ac:dyDescent="0.25">
      <c r="B3013" s="19"/>
    </row>
    <row r="3014" spans="2:2" x14ac:dyDescent="0.25">
      <c r="B3014" s="19"/>
    </row>
    <row r="3015" spans="2:2" x14ac:dyDescent="0.25">
      <c r="B3015" s="19"/>
    </row>
    <row r="3016" spans="2:2" x14ac:dyDescent="0.25">
      <c r="B3016" s="19"/>
    </row>
    <row r="3017" spans="2:2" x14ac:dyDescent="0.25">
      <c r="B3017" s="19"/>
    </row>
    <row r="3018" spans="2:2" x14ac:dyDescent="0.25">
      <c r="B3018" s="19"/>
    </row>
    <row r="3019" spans="2:2" x14ac:dyDescent="0.25">
      <c r="B3019" s="19"/>
    </row>
    <row r="3020" spans="2:2" x14ac:dyDescent="0.25">
      <c r="B3020" s="19"/>
    </row>
    <row r="3021" spans="2:2" x14ac:dyDescent="0.25">
      <c r="B3021" s="19"/>
    </row>
    <row r="3022" spans="2:2" x14ac:dyDescent="0.25">
      <c r="B3022" s="19"/>
    </row>
    <row r="3023" spans="2:2" x14ac:dyDescent="0.25">
      <c r="B3023" s="19"/>
    </row>
    <row r="3024" spans="2:2" x14ac:dyDescent="0.25">
      <c r="B3024" s="19"/>
    </row>
    <row r="3025" spans="2:2" x14ac:dyDescent="0.25">
      <c r="B3025" s="19"/>
    </row>
    <row r="3026" spans="2:2" x14ac:dyDescent="0.25">
      <c r="B3026" s="19"/>
    </row>
    <row r="3027" spans="2:2" x14ac:dyDescent="0.25">
      <c r="B3027" s="19"/>
    </row>
    <row r="3028" spans="2:2" x14ac:dyDescent="0.25">
      <c r="B3028" s="19"/>
    </row>
    <row r="3029" spans="2:2" x14ac:dyDescent="0.25">
      <c r="B3029" s="19"/>
    </row>
    <row r="3030" spans="2:2" x14ac:dyDescent="0.25">
      <c r="B3030" s="19"/>
    </row>
    <row r="3031" spans="2:2" x14ac:dyDescent="0.25">
      <c r="B3031" s="19"/>
    </row>
    <row r="3032" spans="2:2" x14ac:dyDescent="0.25">
      <c r="B3032" s="19"/>
    </row>
    <row r="3033" spans="2:2" x14ac:dyDescent="0.25">
      <c r="B3033" s="19"/>
    </row>
    <row r="3034" spans="2:2" x14ac:dyDescent="0.25">
      <c r="B3034" s="19"/>
    </row>
    <row r="3035" spans="2:2" x14ac:dyDescent="0.25">
      <c r="B3035" s="19"/>
    </row>
    <row r="3036" spans="2:2" x14ac:dyDescent="0.25">
      <c r="B3036" s="19"/>
    </row>
    <row r="3037" spans="2:2" x14ac:dyDescent="0.25">
      <c r="B3037" s="19"/>
    </row>
    <row r="3038" spans="2:2" x14ac:dyDescent="0.25">
      <c r="B3038" s="19"/>
    </row>
    <row r="3039" spans="2:2" x14ac:dyDescent="0.25">
      <c r="B3039" s="19"/>
    </row>
    <row r="3040" spans="2:2" x14ac:dyDescent="0.25">
      <c r="B3040" s="19"/>
    </row>
    <row r="3041" spans="2:2" x14ac:dyDescent="0.25">
      <c r="B3041" s="19"/>
    </row>
    <row r="3042" spans="2:2" x14ac:dyDescent="0.25">
      <c r="B3042" s="19"/>
    </row>
    <row r="3043" spans="2:2" x14ac:dyDescent="0.25">
      <c r="B3043" s="19"/>
    </row>
    <row r="3044" spans="2:2" x14ac:dyDescent="0.25">
      <c r="B3044" s="19"/>
    </row>
    <row r="3045" spans="2:2" x14ac:dyDescent="0.25">
      <c r="B3045" s="19"/>
    </row>
    <row r="3046" spans="2:2" x14ac:dyDescent="0.25">
      <c r="B3046" s="19"/>
    </row>
    <row r="3047" spans="2:2" x14ac:dyDescent="0.25">
      <c r="B3047" s="19"/>
    </row>
    <row r="3048" spans="2:2" x14ac:dyDescent="0.25">
      <c r="B3048" s="19"/>
    </row>
    <row r="3049" spans="2:2" x14ac:dyDescent="0.25">
      <c r="B3049" s="19"/>
    </row>
    <row r="3050" spans="2:2" x14ac:dyDescent="0.25">
      <c r="B3050" s="19"/>
    </row>
    <row r="3051" spans="2:2" x14ac:dyDescent="0.25">
      <c r="B3051" s="19"/>
    </row>
    <row r="3052" spans="2:2" x14ac:dyDescent="0.25">
      <c r="B3052" s="19"/>
    </row>
    <row r="3053" spans="2:2" x14ac:dyDescent="0.25">
      <c r="B3053" s="19"/>
    </row>
    <row r="3054" spans="2:2" x14ac:dyDescent="0.25">
      <c r="B3054" s="19"/>
    </row>
    <row r="3055" spans="2:2" x14ac:dyDescent="0.25">
      <c r="B3055" s="19"/>
    </row>
    <row r="3056" spans="2:2" x14ac:dyDescent="0.25">
      <c r="B3056" s="19"/>
    </row>
    <row r="3057" spans="2:2" x14ac:dyDescent="0.25">
      <c r="B3057" s="19"/>
    </row>
    <row r="3058" spans="2:2" x14ac:dyDescent="0.25">
      <c r="B3058" s="19"/>
    </row>
    <row r="3059" spans="2:2" x14ac:dyDescent="0.25">
      <c r="B3059" s="19"/>
    </row>
    <row r="3060" spans="2:2" x14ac:dyDescent="0.25">
      <c r="B3060" s="19"/>
    </row>
    <row r="3061" spans="2:2" x14ac:dyDescent="0.25">
      <c r="B3061" s="19"/>
    </row>
    <row r="3062" spans="2:2" x14ac:dyDescent="0.25">
      <c r="B3062" s="19"/>
    </row>
    <row r="3063" spans="2:2" x14ac:dyDescent="0.25">
      <c r="B3063" s="19"/>
    </row>
    <row r="3064" spans="2:2" x14ac:dyDescent="0.25">
      <c r="B3064" s="19"/>
    </row>
    <row r="3065" spans="2:2" x14ac:dyDescent="0.25">
      <c r="B3065" s="19"/>
    </row>
    <row r="3066" spans="2:2" x14ac:dyDescent="0.25">
      <c r="B3066" s="19"/>
    </row>
    <row r="3067" spans="2:2" x14ac:dyDescent="0.25">
      <c r="B3067" s="19"/>
    </row>
    <row r="3068" spans="2:2" x14ac:dyDescent="0.25">
      <c r="B3068" s="19"/>
    </row>
    <row r="3069" spans="2:2" x14ac:dyDescent="0.25">
      <c r="B3069" s="19"/>
    </row>
    <row r="3070" spans="2:2" x14ac:dyDescent="0.25">
      <c r="B3070" s="19"/>
    </row>
    <row r="3071" spans="2:2" x14ac:dyDescent="0.25">
      <c r="B3071" s="19"/>
    </row>
    <row r="3072" spans="2:2" x14ac:dyDescent="0.25">
      <c r="B3072" s="19"/>
    </row>
    <row r="3073" spans="2:2" x14ac:dyDescent="0.25">
      <c r="B3073" s="19"/>
    </row>
    <row r="3074" spans="2:2" x14ac:dyDescent="0.25">
      <c r="B3074" s="19"/>
    </row>
    <row r="3075" spans="2:2" x14ac:dyDescent="0.25">
      <c r="B3075" s="19"/>
    </row>
    <row r="3076" spans="2:2" x14ac:dyDescent="0.25">
      <c r="B3076" s="19"/>
    </row>
    <row r="3077" spans="2:2" x14ac:dyDescent="0.25">
      <c r="B3077" s="19"/>
    </row>
    <row r="3078" spans="2:2" x14ac:dyDescent="0.25">
      <c r="B3078" s="19"/>
    </row>
    <row r="3079" spans="2:2" x14ac:dyDescent="0.25">
      <c r="B3079" s="19"/>
    </row>
    <row r="3080" spans="2:2" x14ac:dyDescent="0.25">
      <c r="B3080" s="19"/>
    </row>
    <row r="3081" spans="2:2" x14ac:dyDescent="0.25">
      <c r="B3081" s="19"/>
    </row>
    <row r="3082" spans="2:2" x14ac:dyDescent="0.25">
      <c r="B3082" s="19"/>
    </row>
    <row r="3083" spans="2:2" x14ac:dyDescent="0.25">
      <c r="B3083" s="19"/>
    </row>
    <row r="3084" spans="2:2" x14ac:dyDescent="0.25">
      <c r="B3084" s="19"/>
    </row>
    <row r="3085" spans="2:2" x14ac:dyDescent="0.25">
      <c r="B3085" s="19"/>
    </row>
    <row r="3086" spans="2:2" x14ac:dyDescent="0.25">
      <c r="B3086" s="19"/>
    </row>
    <row r="3087" spans="2:2" x14ac:dyDescent="0.25">
      <c r="B3087" s="19"/>
    </row>
    <row r="3088" spans="2:2" x14ac:dyDescent="0.25">
      <c r="B3088" s="19"/>
    </row>
    <row r="3089" spans="2:2" x14ac:dyDescent="0.25">
      <c r="B3089" s="19"/>
    </row>
    <row r="3090" spans="2:2" x14ac:dyDescent="0.25">
      <c r="B3090" s="19"/>
    </row>
    <row r="3091" spans="2:2" x14ac:dyDescent="0.25">
      <c r="B3091" s="19"/>
    </row>
    <row r="3092" spans="2:2" x14ac:dyDescent="0.25">
      <c r="B3092" s="19"/>
    </row>
    <row r="3093" spans="2:2" x14ac:dyDescent="0.25">
      <c r="B3093" s="19"/>
    </row>
    <row r="3094" spans="2:2" x14ac:dyDescent="0.25">
      <c r="B3094" s="19"/>
    </row>
    <row r="3095" spans="2:2" x14ac:dyDescent="0.25">
      <c r="B3095" s="19"/>
    </row>
    <row r="3096" spans="2:2" x14ac:dyDescent="0.25">
      <c r="B3096" s="19"/>
    </row>
    <row r="3097" spans="2:2" x14ac:dyDescent="0.25">
      <c r="B3097" s="19"/>
    </row>
    <row r="3098" spans="2:2" x14ac:dyDescent="0.25">
      <c r="B3098" s="19"/>
    </row>
    <row r="3099" spans="2:2" x14ac:dyDescent="0.25">
      <c r="B3099" s="19"/>
    </row>
    <row r="3100" spans="2:2" x14ac:dyDescent="0.25">
      <c r="B3100" s="19"/>
    </row>
    <row r="3101" spans="2:2" x14ac:dyDescent="0.25">
      <c r="B3101" s="19"/>
    </row>
    <row r="3102" spans="2:2" x14ac:dyDescent="0.25">
      <c r="B3102" s="19"/>
    </row>
    <row r="3103" spans="2:2" x14ac:dyDescent="0.25">
      <c r="B3103" s="19"/>
    </row>
    <row r="3104" spans="2:2" x14ac:dyDescent="0.25">
      <c r="B3104" s="19"/>
    </row>
    <row r="3105" spans="2:2" x14ac:dyDescent="0.25">
      <c r="B3105" s="19"/>
    </row>
    <row r="3106" spans="2:2" x14ac:dyDescent="0.25">
      <c r="B3106" s="19"/>
    </row>
    <row r="3107" spans="2:2" x14ac:dyDescent="0.25">
      <c r="B3107" s="19"/>
    </row>
    <row r="3108" spans="2:2" x14ac:dyDescent="0.25">
      <c r="B3108" s="19"/>
    </row>
    <row r="3109" spans="2:2" x14ac:dyDescent="0.25">
      <c r="B3109" s="19"/>
    </row>
    <row r="3110" spans="2:2" x14ac:dyDescent="0.25">
      <c r="B3110" s="19"/>
    </row>
    <row r="3111" spans="2:2" x14ac:dyDescent="0.25">
      <c r="B3111" s="19"/>
    </row>
    <row r="3112" spans="2:2" x14ac:dyDescent="0.25">
      <c r="B3112" s="19"/>
    </row>
    <row r="3113" spans="2:2" x14ac:dyDescent="0.25">
      <c r="B3113" s="19"/>
    </row>
    <row r="3114" spans="2:2" x14ac:dyDescent="0.25">
      <c r="B3114" s="19"/>
    </row>
    <row r="3115" spans="2:2" x14ac:dyDescent="0.25">
      <c r="B3115" s="19"/>
    </row>
    <row r="3116" spans="2:2" x14ac:dyDescent="0.25">
      <c r="B3116" s="19"/>
    </row>
    <row r="3117" spans="2:2" x14ac:dyDescent="0.25">
      <c r="B3117" s="19"/>
    </row>
    <row r="3118" spans="2:2" x14ac:dyDescent="0.25">
      <c r="B3118" s="19"/>
    </row>
    <row r="3119" spans="2:2" x14ac:dyDescent="0.25">
      <c r="B3119" s="19"/>
    </row>
    <row r="3120" spans="2:2" x14ac:dyDescent="0.25">
      <c r="B3120" s="19"/>
    </row>
    <row r="3121" spans="2:2" x14ac:dyDescent="0.25">
      <c r="B3121" s="19"/>
    </row>
    <row r="3122" spans="2:2" x14ac:dyDescent="0.25">
      <c r="B3122" s="19"/>
    </row>
    <row r="3123" spans="2:2" x14ac:dyDescent="0.25">
      <c r="B3123" s="19"/>
    </row>
    <row r="3124" spans="2:2" x14ac:dyDescent="0.25">
      <c r="B3124" s="19"/>
    </row>
    <row r="3125" spans="2:2" x14ac:dyDescent="0.25">
      <c r="B3125" s="19"/>
    </row>
    <row r="3126" spans="2:2" x14ac:dyDescent="0.25">
      <c r="B3126" s="19"/>
    </row>
    <row r="3127" spans="2:2" x14ac:dyDescent="0.25">
      <c r="B3127" s="19"/>
    </row>
    <row r="3128" spans="2:2" x14ac:dyDescent="0.25">
      <c r="B3128" s="19"/>
    </row>
    <row r="3129" spans="2:2" x14ac:dyDescent="0.25">
      <c r="B3129" s="19"/>
    </row>
    <row r="3130" spans="2:2" x14ac:dyDescent="0.25">
      <c r="B3130" s="19"/>
    </row>
    <row r="3131" spans="2:2" x14ac:dyDescent="0.25">
      <c r="B3131" s="19"/>
    </row>
    <row r="3132" spans="2:2" x14ac:dyDescent="0.25">
      <c r="B3132" s="19"/>
    </row>
    <row r="3133" spans="2:2" x14ac:dyDescent="0.25">
      <c r="B3133" s="19"/>
    </row>
    <row r="3134" spans="2:2" x14ac:dyDescent="0.25">
      <c r="B3134" s="19"/>
    </row>
    <row r="3135" spans="2:2" x14ac:dyDescent="0.25">
      <c r="B3135" s="19"/>
    </row>
    <row r="3136" spans="2:2" x14ac:dyDescent="0.25">
      <c r="B3136" s="19"/>
    </row>
    <row r="3137" spans="2:2" x14ac:dyDescent="0.25">
      <c r="B3137" s="19"/>
    </row>
    <row r="3138" spans="2:2" x14ac:dyDescent="0.25">
      <c r="B3138" s="19"/>
    </row>
    <row r="3139" spans="2:2" x14ac:dyDescent="0.25">
      <c r="B3139" s="19"/>
    </row>
    <row r="3140" spans="2:2" x14ac:dyDescent="0.25">
      <c r="B3140" s="19"/>
    </row>
    <row r="3141" spans="2:2" x14ac:dyDescent="0.25">
      <c r="B3141" s="19"/>
    </row>
    <row r="3142" spans="2:2" x14ac:dyDescent="0.25">
      <c r="B3142" s="19"/>
    </row>
    <row r="3143" spans="2:2" x14ac:dyDescent="0.25">
      <c r="B3143" s="19"/>
    </row>
    <row r="3144" spans="2:2" x14ac:dyDescent="0.25">
      <c r="B3144" s="19"/>
    </row>
    <row r="3145" spans="2:2" x14ac:dyDescent="0.25">
      <c r="B3145" s="19"/>
    </row>
    <row r="3146" spans="2:2" x14ac:dyDescent="0.25">
      <c r="B3146" s="19"/>
    </row>
    <row r="3147" spans="2:2" x14ac:dyDescent="0.25">
      <c r="B3147" s="19"/>
    </row>
    <row r="3148" spans="2:2" x14ac:dyDescent="0.25">
      <c r="B3148" s="19"/>
    </row>
    <row r="3149" spans="2:2" x14ac:dyDescent="0.25">
      <c r="B3149" s="19"/>
    </row>
    <row r="3150" spans="2:2" x14ac:dyDescent="0.25">
      <c r="B3150" s="19"/>
    </row>
    <row r="3151" spans="2:2" x14ac:dyDescent="0.25">
      <c r="B3151" s="19"/>
    </row>
    <row r="3152" spans="2:2" x14ac:dyDescent="0.25">
      <c r="B3152" s="19"/>
    </row>
    <row r="3153" spans="2:2" x14ac:dyDescent="0.25">
      <c r="B3153" s="19"/>
    </row>
    <row r="3154" spans="2:2" x14ac:dyDescent="0.25">
      <c r="B3154" s="19"/>
    </row>
    <row r="3155" spans="2:2" x14ac:dyDescent="0.25">
      <c r="B3155" s="19"/>
    </row>
    <row r="3156" spans="2:2" x14ac:dyDescent="0.25">
      <c r="B3156" s="19"/>
    </row>
    <row r="3157" spans="2:2" x14ac:dyDescent="0.25">
      <c r="B3157" s="19"/>
    </row>
    <row r="3158" spans="2:2" x14ac:dyDescent="0.25">
      <c r="B3158" s="19"/>
    </row>
    <row r="3159" spans="2:2" x14ac:dyDescent="0.25">
      <c r="B3159" s="19"/>
    </row>
    <row r="3160" spans="2:2" x14ac:dyDescent="0.25">
      <c r="B3160" s="19"/>
    </row>
    <row r="3161" spans="2:2" x14ac:dyDescent="0.25">
      <c r="B3161" s="19"/>
    </row>
    <row r="3162" spans="2:2" x14ac:dyDescent="0.25">
      <c r="B3162" s="19"/>
    </row>
    <row r="3163" spans="2:2" x14ac:dyDescent="0.25">
      <c r="B3163" s="19"/>
    </row>
    <row r="3164" spans="2:2" x14ac:dyDescent="0.25">
      <c r="B3164" s="19"/>
    </row>
    <row r="3165" spans="2:2" x14ac:dyDescent="0.25">
      <c r="B3165" s="19"/>
    </row>
    <row r="3166" spans="2:2" x14ac:dyDescent="0.25">
      <c r="B3166" s="19"/>
    </row>
    <row r="3167" spans="2:2" x14ac:dyDescent="0.25">
      <c r="B3167" s="19"/>
    </row>
    <row r="3168" spans="2:2" x14ac:dyDescent="0.25">
      <c r="B3168" s="19"/>
    </row>
    <row r="3169" spans="2:2" x14ac:dyDescent="0.25">
      <c r="B3169" s="19"/>
    </row>
    <row r="3170" spans="2:2" x14ac:dyDescent="0.25">
      <c r="B3170" s="19"/>
    </row>
    <row r="3171" spans="2:2" x14ac:dyDescent="0.25">
      <c r="B3171" s="19"/>
    </row>
    <row r="3172" spans="2:2" x14ac:dyDescent="0.25">
      <c r="B3172" s="19"/>
    </row>
    <row r="3173" spans="2:2" x14ac:dyDescent="0.25">
      <c r="B3173" s="19"/>
    </row>
    <row r="3174" spans="2:2" x14ac:dyDescent="0.25">
      <c r="B3174" s="19"/>
    </row>
    <row r="3175" spans="2:2" x14ac:dyDescent="0.25">
      <c r="B3175" s="19"/>
    </row>
    <row r="3176" spans="2:2" x14ac:dyDescent="0.25">
      <c r="B3176" s="19"/>
    </row>
    <row r="3177" spans="2:2" x14ac:dyDescent="0.25">
      <c r="B3177" s="19"/>
    </row>
    <row r="3178" spans="2:2" x14ac:dyDescent="0.25">
      <c r="B3178" s="19"/>
    </row>
    <row r="3179" spans="2:2" x14ac:dyDescent="0.25">
      <c r="B3179" s="19"/>
    </row>
    <row r="3180" spans="2:2" x14ac:dyDescent="0.25">
      <c r="B3180" s="19"/>
    </row>
    <row r="3181" spans="2:2" x14ac:dyDescent="0.25">
      <c r="B3181" s="19"/>
    </row>
    <row r="3182" spans="2:2" x14ac:dyDescent="0.25">
      <c r="B3182" s="19"/>
    </row>
    <row r="3183" spans="2:2" x14ac:dyDescent="0.25">
      <c r="B3183" s="19"/>
    </row>
    <row r="3184" spans="2:2" x14ac:dyDescent="0.25">
      <c r="B3184" s="19"/>
    </row>
    <row r="3185" spans="2:2" x14ac:dyDescent="0.25">
      <c r="B3185" s="19"/>
    </row>
    <row r="3186" spans="2:2" x14ac:dyDescent="0.25">
      <c r="B3186" s="19"/>
    </row>
    <row r="3187" spans="2:2" x14ac:dyDescent="0.25">
      <c r="B3187" s="19"/>
    </row>
    <row r="3188" spans="2:2" x14ac:dyDescent="0.25">
      <c r="B3188" s="19"/>
    </row>
    <row r="3189" spans="2:2" x14ac:dyDescent="0.25">
      <c r="B3189" s="19"/>
    </row>
    <row r="3190" spans="2:2" x14ac:dyDescent="0.25">
      <c r="B3190" s="19"/>
    </row>
    <row r="3191" spans="2:2" x14ac:dyDescent="0.25">
      <c r="B3191" s="19"/>
    </row>
    <row r="3192" spans="2:2" x14ac:dyDescent="0.25">
      <c r="B3192" s="19"/>
    </row>
    <row r="3193" spans="2:2" x14ac:dyDescent="0.25">
      <c r="B3193" s="19"/>
    </row>
    <row r="3194" spans="2:2" x14ac:dyDescent="0.25">
      <c r="B3194" s="19"/>
    </row>
    <row r="3195" spans="2:2" x14ac:dyDescent="0.25">
      <c r="B3195" s="19"/>
    </row>
    <row r="3196" spans="2:2" x14ac:dyDescent="0.25">
      <c r="B3196" s="19"/>
    </row>
    <row r="3197" spans="2:2" x14ac:dyDescent="0.25">
      <c r="B3197" s="19"/>
    </row>
    <row r="3198" spans="2:2" x14ac:dyDescent="0.25">
      <c r="B3198" s="19"/>
    </row>
    <row r="3199" spans="2:2" x14ac:dyDescent="0.25">
      <c r="B3199" s="19"/>
    </row>
    <row r="3200" spans="2:2" x14ac:dyDescent="0.25">
      <c r="B3200" s="19"/>
    </row>
    <row r="3201" spans="2:2" x14ac:dyDescent="0.25">
      <c r="B3201" s="19"/>
    </row>
    <row r="3202" spans="2:2" x14ac:dyDescent="0.25">
      <c r="B3202" s="19"/>
    </row>
    <row r="3203" spans="2:2" x14ac:dyDescent="0.25">
      <c r="B3203" s="19"/>
    </row>
    <row r="3204" spans="2:2" x14ac:dyDescent="0.25">
      <c r="B3204" s="19"/>
    </row>
    <row r="3205" spans="2:2" x14ac:dyDescent="0.25">
      <c r="B3205" s="19"/>
    </row>
    <row r="3206" spans="2:2" x14ac:dyDescent="0.25">
      <c r="B3206" s="19"/>
    </row>
    <row r="3207" spans="2:2" x14ac:dyDescent="0.25">
      <c r="B3207" s="19"/>
    </row>
    <row r="3208" spans="2:2" x14ac:dyDescent="0.25">
      <c r="B3208" s="19"/>
    </row>
    <row r="3209" spans="2:2" x14ac:dyDescent="0.25">
      <c r="B3209" s="19"/>
    </row>
    <row r="3210" spans="2:2" x14ac:dyDescent="0.25">
      <c r="B3210" s="19"/>
    </row>
    <row r="3211" spans="2:2" x14ac:dyDescent="0.25">
      <c r="B3211" s="19"/>
    </row>
    <row r="3212" spans="2:2" x14ac:dyDescent="0.25">
      <c r="B3212" s="19"/>
    </row>
    <row r="3213" spans="2:2" x14ac:dyDescent="0.25">
      <c r="B3213" s="19"/>
    </row>
    <row r="3214" spans="2:2" x14ac:dyDescent="0.25">
      <c r="B3214" s="19"/>
    </row>
    <row r="3215" spans="2:2" x14ac:dyDescent="0.25">
      <c r="B3215" s="19"/>
    </row>
    <row r="3216" spans="2:2" x14ac:dyDescent="0.25">
      <c r="B3216" s="19"/>
    </row>
    <row r="3217" spans="2:2" x14ac:dyDescent="0.25">
      <c r="B3217" s="19"/>
    </row>
    <row r="3218" spans="2:2" x14ac:dyDescent="0.25">
      <c r="B3218" s="19"/>
    </row>
    <row r="3219" spans="2:2" x14ac:dyDescent="0.25">
      <c r="B3219" s="19"/>
    </row>
    <row r="3220" spans="2:2" x14ac:dyDescent="0.25">
      <c r="B3220" s="19"/>
    </row>
    <row r="3221" spans="2:2" x14ac:dyDescent="0.25">
      <c r="B3221" s="19"/>
    </row>
    <row r="3222" spans="2:2" x14ac:dyDescent="0.25">
      <c r="B3222" s="19"/>
    </row>
    <row r="3223" spans="2:2" x14ac:dyDescent="0.25">
      <c r="B3223" s="19"/>
    </row>
    <row r="3224" spans="2:2" x14ac:dyDescent="0.25">
      <c r="B3224" s="19"/>
    </row>
    <row r="3225" spans="2:2" x14ac:dyDescent="0.25">
      <c r="B3225" s="19"/>
    </row>
    <row r="3226" spans="2:2" x14ac:dyDescent="0.25">
      <c r="B3226" s="19"/>
    </row>
    <row r="3227" spans="2:2" x14ac:dyDescent="0.25">
      <c r="B3227" s="19"/>
    </row>
    <row r="3228" spans="2:2" x14ac:dyDescent="0.25">
      <c r="B3228" s="19"/>
    </row>
    <row r="3229" spans="2:2" x14ac:dyDescent="0.25">
      <c r="B3229" s="19"/>
    </row>
    <row r="3230" spans="2:2" x14ac:dyDescent="0.25">
      <c r="B3230" s="19"/>
    </row>
    <row r="3231" spans="2:2" x14ac:dyDescent="0.25">
      <c r="B3231" s="19"/>
    </row>
    <row r="3232" spans="2:2" x14ac:dyDescent="0.25">
      <c r="B3232" s="19"/>
    </row>
    <row r="3233" spans="2:2" x14ac:dyDescent="0.25">
      <c r="B3233" s="19"/>
    </row>
    <row r="3234" spans="2:2" x14ac:dyDescent="0.25">
      <c r="B3234" s="19"/>
    </row>
    <row r="3235" spans="2:2" x14ac:dyDescent="0.25">
      <c r="B3235" s="19"/>
    </row>
    <row r="3236" spans="2:2" x14ac:dyDescent="0.25">
      <c r="B3236" s="19"/>
    </row>
    <row r="3237" spans="2:2" x14ac:dyDescent="0.25">
      <c r="B3237" s="19"/>
    </row>
    <row r="3238" spans="2:2" x14ac:dyDescent="0.25">
      <c r="B3238" s="19"/>
    </row>
    <row r="3239" spans="2:2" x14ac:dyDescent="0.25">
      <c r="B3239" s="19"/>
    </row>
    <row r="3240" spans="2:2" x14ac:dyDescent="0.25">
      <c r="B3240" s="19"/>
    </row>
    <row r="3241" spans="2:2" x14ac:dyDescent="0.25">
      <c r="B3241" s="19"/>
    </row>
    <row r="3242" spans="2:2" x14ac:dyDescent="0.25">
      <c r="B3242" s="19"/>
    </row>
    <row r="3243" spans="2:2" x14ac:dyDescent="0.25">
      <c r="B3243" s="19"/>
    </row>
    <row r="3244" spans="2:2" x14ac:dyDescent="0.25">
      <c r="B3244" s="19"/>
    </row>
    <row r="3245" spans="2:2" x14ac:dyDescent="0.25">
      <c r="B3245" s="19"/>
    </row>
    <row r="3246" spans="2:2" x14ac:dyDescent="0.25">
      <c r="B3246" s="19"/>
    </row>
    <row r="3247" spans="2:2" x14ac:dyDescent="0.25">
      <c r="B3247" s="19"/>
    </row>
    <row r="3248" spans="2:2" x14ac:dyDescent="0.25">
      <c r="B3248" s="19"/>
    </row>
    <row r="3249" spans="2:2" x14ac:dyDescent="0.25">
      <c r="B3249" s="19"/>
    </row>
    <row r="3250" spans="2:2" x14ac:dyDescent="0.25">
      <c r="B3250" s="19"/>
    </row>
    <row r="3251" spans="2:2" x14ac:dyDescent="0.25">
      <c r="B3251" s="19"/>
    </row>
    <row r="3252" spans="2:2" x14ac:dyDescent="0.25">
      <c r="B3252" s="19"/>
    </row>
    <row r="3253" spans="2:2" x14ac:dyDescent="0.25">
      <c r="B3253" s="19"/>
    </row>
    <row r="3254" spans="2:2" x14ac:dyDescent="0.25">
      <c r="B3254" s="19"/>
    </row>
    <row r="3255" spans="2:2" x14ac:dyDescent="0.25">
      <c r="B3255" s="19"/>
    </row>
    <row r="3256" spans="2:2" x14ac:dyDescent="0.25">
      <c r="B3256" s="19"/>
    </row>
    <row r="3257" spans="2:2" x14ac:dyDescent="0.25">
      <c r="B3257" s="19"/>
    </row>
    <row r="3258" spans="2:2" x14ac:dyDescent="0.25">
      <c r="B3258" s="19"/>
    </row>
    <row r="3259" spans="2:2" x14ac:dyDescent="0.25">
      <c r="B3259" s="19"/>
    </row>
    <row r="3260" spans="2:2" x14ac:dyDescent="0.25">
      <c r="B3260" s="19"/>
    </row>
    <row r="3261" spans="2:2" x14ac:dyDescent="0.25">
      <c r="B3261" s="19"/>
    </row>
    <row r="3262" spans="2:2" x14ac:dyDescent="0.25">
      <c r="B3262" s="19"/>
    </row>
    <row r="3263" spans="2:2" x14ac:dyDescent="0.25">
      <c r="B3263" s="19"/>
    </row>
    <row r="3264" spans="2:2" x14ac:dyDescent="0.25">
      <c r="B3264" s="19"/>
    </row>
    <row r="3265" spans="2:2" x14ac:dyDescent="0.25">
      <c r="B3265" s="19"/>
    </row>
    <row r="3266" spans="2:2" x14ac:dyDescent="0.25">
      <c r="B3266" s="19"/>
    </row>
    <row r="3267" spans="2:2" x14ac:dyDescent="0.25">
      <c r="B3267" s="19"/>
    </row>
    <row r="3268" spans="2:2" x14ac:dyDescent="0.25">
      <c r="B3268" s="19"/>
    </row>
    <row r="3269" spans="2:2" x14ac:dyDescent="0.25">
      <c r="B3269" s="19"/>
    </row>
    <row r="3270" spans="2:2" x14ac:dyDescent="0.25">
      <c r="B3270" s="19"/>
    </row>
    <row r="3271" spans="2:2" x14ac:dyDescent="0.25">
      <c r="B3271" s="19"/>
    </row>
    <row r="3272" spans="2:2" x14ac:dyDescent="0.25">
      <c r="B3272" s="19"/>
    </row>
    <row r="3273" spans="2:2" x14ac:dyDescent="0.25">
      <c r="B3273" s="19"/>
    </row>
    <row r="3274" spans="2:2" x14ac:dyDescent="0.25">
      <c r="B3274" s="19"/>
    </row>
    <row r="3275" spans="2:2" x14ac:dyDescent="0.25">
      <c r="B3275" s="19"/>
    </row>
    <row r="3276" spans="2:2" x14ac:dyDescent="0.25">
      <c r="B3276" s="19"/>
    </row>
    <row r="3277" spans="2:2" x14ac:dyDescent="0.25">
      <c r="B3277" s="19"/>
    </row>
    <row r="3278" spans="2:2" x14ac:dyDescent="0.25">
      <c r="B3278" s="19"/>
    </row>
    <row r="3279" spans="2:2" x14ac:dyDescent="0.25">
      <c r="B3279" s="19"/>
    </row>
    <row r="3280" spans="2:2" x14ac:dyDescent="0.25">
      <c r="B3280" s="19"/>
    </row>
    <row r="3281" spans="2:2" x14ac:dyDescent="0.25">
      <c r="B3281" s="19"/>
    </row>
    <row r="3282" spans="2:2" x14ac:dyDescent="0.25">
      <c r="B3282" s="19"/>
    </row>
    <row r="3283" spans="2:2" x14ac:dyDescent="0.25">
      <c r="B3283" s="19"/>
    </row>
    <row r="3284" spans="2:2" x14ac:dyDescent="0.25">
      <c r="B3284" s="19"/>
    </row>
    <row r="3285" spans="2:2" x14ac:dyDescent="0.25">
      <c r="B3285" s="19"/>
    </row>
    <row r="3286" spans="2:2" x14ac:dyDescent="0.25">
      <c r="B3286" s="19"/>
    </row>
    <row r="3287" spans="2:2" x14ac:dyDescent="0.25">
      <c r="B3287" s="19"/>
    </row>
    <row r="3288" spans="2:2" x14ac:dyDescent="0.25">
      <c r="B3288" s="19"/>
    </row>
    <row r="3289" spans="2:2" x14ac:dyDescent="0.25">
      <c r="B3289" s="19"/>
    </row>
    <row r="3290" spans="2:2" x14ac:dyDescent="0.25">
      <c r="B3290" s="19"/>
    </row>
    <row r="3291" spans="2:2" x14ac:dyDescent="0.25">
      <c r="B3291" s="19"/>
    </row>
    <row r="3292" spans="2:2" x14ac:dyDescent="0.25">
      <c r="B3292" s="19"/>
    </row>
    <row r="3293" spans="2:2" x14ac:dyDescent="0.25">
      <c r="B3293" s="19"/>
    </row>
    <row r="3294" spans="2:2" x14ac:dyDescent="0.25">
      <c r="B3294" s="19"/>
    </row>
    <row r="3295" spans="2:2" x14ac:dyDescent="0.25">
      <c r="B3295" s="19"/>
    </row>
    <row r="3296" spans="2:2" x14ac:dyDescent="0.25">
      <c r="B3296" s="19"/>
    </row>
    <row r="3297" spans="2:2" x14ac:dyDescent="0.25">
      <c r="B3297" s="19"/>
    </row>
    <row r="3298" spans="2:2" x14ac:dyDescent="0.25">
      <c r="B3298" s="19"/>
    </row>
    <row r="3299" spans="2:2" x14ac:dyDescent="0.25">
      <c r="B3299" s="19"/>
    </row>
    <row r="3300" spans="2:2" x14ac:dyDescent="0.25">
      <c r="B3300" s="19"/>
    </row>
    <row r="3301" spans="2:2" x14ac:dyDescent="0.25">
      <c r="B3301" s="19"/>
    </row>
    <row r="3302" spans="2:2" x14ac:dyDescent="0.25">
      <c r="B3302" s="19"/>
    </row>
    <row r="3303" spans="2:2" x14ac:dyDescent="0.25">
      <c r="B3303" s="19"/>
    </row>
    <row r="3304" spans="2:2" x14ac:dyDescent="0.25">
      <c r="B3304" s="19"/>
    </row>
    <row r="3305" spans="2:2" x14ac:dyDescent="0.25">
      <c r="B3305" s="19"/>
    </row>
    <row r="3306" spans="2:2" x14ac:dyDescent="0.25">
      <c r="B3306" s="19"/>
    </row>
    <row r="3307" spans="2:2" x14ac:dyDescent="0.25">
      <c r="B3307" s="19"/>
    </row>
    <row r="3308" spans="2:2" x14ac:dyDescent="0.25">
      <c r="B3308" s="19"/>
    </row>
    <row r="3309" spans="2:2" x14ac:dyDescent="0.25">
      <c r="B3309" s="19"/>
    </row>
    <row r="3310" spans="2:2" x14ac:dyDescent="0.25">
      <c r="B3310" s="19"/>
    </row>
    <row r="3311" spans="2:2" x14ac:dyDescent="0.25">
      <c r="B3311" s="19"/>
    </row>
    <row r="3312" spans="2:2" x14ac:dyDescent="0.25">
      <c r="B3312" s="19"/>
    </row>
    <row r="3313" spans="2:2" x14ac:dyDescent="0.25">
      <c r="B3313" s="19"/>
    </row>
    <row r="3314" spans="2:2" x14ac:dyDescent="0.25">
      <c r="B3314" s="19"/>
    </row>
    <row r="3315" spans="2:2" x14ac:dyDescent="0.25">
      <c r="B3315" s="19"/>
    </row>
    <row r="3316" spans="2:2" x14ac:dyDescent="0.25">
      <c r="B3316" s="19"/>
    </row>
    <row r="3317" spans="2:2" x14ac:dyDescent="0.25">
      <c r="B3317" s="19"/>
    </row>
    <row r="3318" spans="2:2" x14ac:dyDescent="0.25">
      <c r="B3318" s="19"/>
    </row>
    <row r="3319" spans="2:2" x14ac:dyDescent="0.25">
      <c r="B3319" s="19"/>
    </row>
    <row r="3320" spans="2:2" x14ac:dyDescent="0.25">
      <c r="B3320" s="19"/>
    </row>
    <row r="3321" spans="2:2" x14ac:dyDescent="0.25">
      <c r="B3321" s="19"/>
    </row>
    <row r="3322" spans="2:2" x14ac:dyDescent="0.25">
      <c r="B3322" s="19"/>
    </row>
    <row r="3323" spans="2:2" x14ac:dyDescent="0.25">
      <c r="B3323" s="19"/>
    </row>
    <row r="3324" spans="2:2" x14ac:dyDescent="0.25">
      <c r="B3324" s="19"/>
    </row>
    <row r="3325" spans="2:2" x14ac:dyDescent="0.25">
      <c r="B3325" s="19"/>
    </row>
    <row r="3326" spans="2:2" x14ac:dyDescent="0.25">
      <c r="B3326" s="19"/>
    </row>
    <row r="3327" spans="2:2" x14ac:dyDescent="0.25">
      <c r="B3327" s="19"/>
    </row>
    <row r="3328" spans="2:2" x14ac:dyDescent="0.25">
      <c r="B3328" s="19"/>
    </row>
    <row r="3329" spans="2:2" x14ac:dyDescent="0.25">
      <c r="B3329" s="19"/>
    </row>
    <row r="3330" spans="2:2" x14ac:dyDescent="0.25">
      <c r="B3330" s="19"/>
    </row>
    <row r="3331" spans="2:2" x14ac:dyDescent="0.25">
      <c r="B3331" s="19"/>
    </row>
    <row r="3332" spans="2:2" x14ac:dyDescent="0.25">
      <c r="B3332" s="19"/>
    </row>
    <row r="3333" spans="2:2" x14ac:dyDescent="0.25">
      <c r="B3333" s="19"/>
    </row>
    <row r="3334" spans="2:2" x14ac:dyDescent="0.25">
      <c r="B3334" s="19"/>
    </row>
    <row r="3335" spans="2:2" x14ac:dyDescent="0.25">
      <c r="B3335" s="19"/>
    </row>
    <row r="3336" spans="2:2" x14ac:dyDescent="0.25">
      <c r="B3336" s="19"/>
    </row>
    <row r="3337" spans="2:2" x14ac:dyDescent="0.25">
      <c r="B3337" s="19"/>
    </row>
    <row r="3338" spans="2:2" x14ac:dyDescent="0.25">
      <c r="B3338" s="19"/>
    </row>
    <row r="3339" spans="2:2" x14ac:dyDescent="0.25">
      <c r="B3339" s="19"/>
    </row>
    <row r="3340" spans="2:2" x14ac:dyDescent="0.25">
      <c r="B3340" s="19"/>
    </row>
    <row r="3341" spans="2:2" x14ac:dyDescent="0.25">
      <c r="B3341" s="19"/>
    </row>
    <row r="3342" spans="2:2" x14ac:dyDescent="0.25">
      <c r="B3342" s="19"/>
    </row>
    <row r="3343" spans="2:2" x14ac:dyDescent="0.25">
      <c r="B3343" s="19"/>
    </row>
    <row r="3344" spans="2:2" x14ac:dyDescent="0.25">
      <c r="B3344" s="19"/>
    </row>
    <row r="3345" spans="2:2" x14ac:dyDescent="0.25">
      <c r="B3345" s="19"/>
    </row>
    <row r="3346" spans="2:2" x14ac:dyDescent="0.25">
      <c r="B3346" s="19"/>
    </row>
    <row r="3347" spans="2:2" x14ac:dyDescent="0.25">
      <c r="B3347" s="19"/>
    </row>
    <row r="3348" spans="2:2" x14ac:dyDescent="0.25">
      <c r="B3348" s="19"/>
    </row>
    <row r="3349" spans="2:2" x14ac:dyDescent="0.25">
      <c r="B3349" s="19"/>
    </row>
    <row r="3350" spans="2:2" x14ac:dyDescent="0.25">
      <c r="B3350" s="19"/>
    </row>
    <row r="3351" spans="2:2" x14ac:dyDescent="0.25">
      <c r="B3351" s="19"/>
    </row>
    <row r="3352" spans="2:2" x14ac:dyDescent="0.25">
      <c r="B3352" s="19"/>
    </row>
    <row r="3353" spans="2:2" x14ac:dyDescent="0.25">
      <c r="B3353" s="19"/>
    </row>
    <row r="3354" spans="2:2" x14ac:dyDescent="0.25">
      <c r="B3354" s="19"/>
    </row>
    <row r="3355" spans="2:2" x14ac:dyDescent="0.25">
      <c r="B3355" s="19"/>
    </row>
    <row r="3356" spans="2:2" x14ac:dyDescent="0.25">
      <c r="B3356" s="19"/>
    </row>
    <row r="3357" spans="2:2" x14ac:dyDescent="0.25">
      <c r="B3357" s="19"/>
    </row>
    <row r="3358" spans="2:2" x14ac:dyDescent="0.25">
      <c r="B3358" s="19"/>
    </row>
    <row r="3359" spans="2:2" x14ac:dyDescent="0.25">
      <c r="B3359" s="19"/>
    </row>
    <row r="3360" spans="2:2" x14ac:dyDescent="0.25">
      <c r="B3360" s="19"/>
    </row>
    <row r="3361" spans="2:2" x14ac:dyDescent="0.25">
      <c r="B3361" s="19"/>
    </row>
    <row r="3362" spans="2:2" x14ac:dyDescent="0.25">
      <c r="B3362" s="19"/>
    </row>
    <row r="3363" spans="2:2" x14ac:dyDescent="0.25">
      <c r="B3363" s="19"/>
    </row>
    <row r="3364" spans="2:2" x14ac:dyDescent="0.25">
      <c r="B3364" s="19"/>
    </row>
    <row r="3365" spans="2:2" x14ac:dyDescent="0.25">
      <c r="B3365" s="19"/>
    </row>
    <row r="3366" spans="2:2" x14ac:dyDescent="0.25">
      <c r="B3366" s="19"/>
    </row>
    <row r="3367" spans="2:2" x14ac:dyDescent="0.25">
      <c r="B3367" s="19"/>
    </row>
    <row r="3368" spans="2:2" x14ac:dyDescent="0.25">
      <c r="B3368" s="19"/>
    </row>
    <row r="3369" spans="2:2" x14ac:dyDescent="0.25">
      <c r="B3369" s="19"/>
    </row>
    <row r="3370" spans="2:2" x14ac:dyDescent="0.25">
      <c r="B3370" s="19"/>
    </row>
    <row r="3371" spans="2:2" x14ac:dyDescent="0.25">
      <c r="B3371" s="19"/>
    </row>
    <row r="3372" spans="2:2" x14ac:dyDescent="0.25">
      <c r="B3372" s="19"/>
    </row>
    <row r="3373" spans="2:2" x14ac:dyDescent="0.25">
      <c r="B3373" s="19"/>
    </row>
    <row r="3374" spans="2:2" x14ac:dyDescent="0.25">
      <c r="B3374" s="19"/>
    </row>
    <row r="3375" spans="2:2" x14ac:dyDescent="0.25">
      <c r="B3375" s="19"/>
    </row>
    <row r="3376" spans="2:2" x14ac:dyDescent="0.25">
      <c r="B3376" s="19"/>
    </row>
    <row r="3377" spans="2:2" x14ac:dyDescent="0.25">
      <c r="B3377" s="19"/>
    </row>
    <row r="3378" spans="2:2" x14ac:dyDescent="0.25">
      <c r="B3378" s="19"/>
    </row>
    <row r="3379" spans="2:2" x14ac:dyDescent="0.25">
      <c r="B3379" s="19"/>
    </row>
    <row r="3380" spans="2:2" x14ac:dyDescent="0.25">
      <c r="B3380" s="19"/>
    </row>
    <row r="3381" spans="2:2" x14ac:dyDescent="0.25">
      <c r="B3381" s="19"/>
    </row>
    <row r="3382" spans="2:2" x14ac:dyDescent="0.25">
      <c r="B3382" s="19"/>
    </row>
    <row r="3383" spans="2:2" x14ac:dyDescent="0.25">
      <c r="B3383" s="19"/>
    </row>
    <row r="3384" spans="2:2" x14ac:dyDescent="0.25">
      <c r="B3384" s="19"/>
    </row>
    <row r="3385" spans="2:2" x14ac:dyDescent="0.25">
      <c r="B3385" s="19"/>
    </row>
    <row r="3386" spans="2:2" x14ac:dyDescent="0.25">
      <c r="B3386" s="19"/>
    </row>
    <row r="3387" spans="2:2" x14ac:dyDescent="0.25">
      <c r="B3387" s="19"/>
    </row>
    <row r="3388" spans="2:2" x14ac:dyDescent="0.25">
      <c r="B3388" s="19"/>
    </row>
    <row r="3389" spans="2:2" x14ac:dyDescent="0.25">
      <c r="B3389" s="19"/>
    </row>
    <row r="3390" spans="2:2" x14ac:dyDescent="0.25">
      <c r="B3390" s="19"/>
    </row>
    <row r="3391" spans="2:2" x14ac:dyDescent="0.25">
      <c r="B3391" s="19"/>
    </row>
    <row r="3392" spans="2:2" x14ac:dyDescent="0.25">
      <c r="B3392" s="19"/>
    </row>
    <row r="3393" spans="2:2" x14ac:dyDescent="0.25">
      <c r="B3393" s="19"/>
    </row>
    <row r="3394" spans="2:2" x14ac:dyDescent="0.25">
      <c r="B3394" s="19"/>
    </row>
    <row r="3395" spans="2:2" x14ac:dyDescent="0.25">
      <c r="B3395" s="19"/>
    </row>
    <row r="3396" spans="2:2" x14ac:dyDescent="0.25">
      <c r="B3396" s="19"/>
    </row>
    <row r="3397" spans="2:2" x14ac:dyDescent="0.25">
      <c r="B3397" s="19"/>
    </row>
    <row r="3398" spans="2:2" x14ac:dyDescent="0.25">
      <c r="B3398" s="19"/>
    </row>
    <row r="3399" spans="2:2" x14ac:dyDescent="0.25">
      <c r="B3399" s="19"/>
    </row>
    <row r="3400" spans="2:2" x14ac:dyDescent="0.25">
      <c r="B3400" s="19"/>
    </row>
    <row r="3401" spans="2:2" x14ac:dyDescent="0.25">
      <c r="B3401" s="19"/>
    </row>
    <row r="3402" spans="2:2" x14ac:dyDescent="0.25">
      <c r="B3402" s="19"/>
    </row>
    <row r="3403" spans="2:2" x14ac:dyDescent="0.25">
      <c r="B3403" s="19"/>
    </row>
    <row r="3404" spans="2:2" x14ac:dyDescent="0.25">
      <c r="B3404" s="19"/>
    </row>
    <row r="3405" spans="2:2" x14ac:dyDescent="0.25">
      <c r="B3405" s="19"/>
    </row>
    <row r="3406" spans="2:2" x14ac:dyDescent="0.25">
      <c r="B3406" s="19"/>
    </row>
    <row r="3407" spans="2:2" x14ac:dyDescent="0.25">
      <c r="B3407" s="19"/>
    </row>
    <row r="3408" spans="2:2" x14ac:dyDescent="0.25">
      <c r="B3408" s="19"/>
    </row>
    <row r="3409" spans="2:2" x14ac:dyDescent="0.25">
      <c r="B3409" s="19"/>
    </row>
    <row r="3410" spans="2:2" x14ac:dyDescent="0.25">
      <c r="B3410" s="19"/>
    </row>
    <row r="3411" spans="2:2" x14ac:dyDescent="0.25">
      <c r="B3411" s="19"/>
    </row>
    <row r="3412" spans="2:2" x14ac:dyDescent="0.25">
      <c r="B3412" s="19"/>
    </row>
    <row r="3413" spans="2:2" x14ac:dyDescent="0.25">
      <c r="B3413" s="19"/>
    </row>
    <row r="3414" spans="2:2" x14ac:dyDescent="0.25">
      <c r="B3414" s="19"/>
    </row>
    <row r="3415" spans="2:2" x14ac:dyDescent="0.25">
      <c r="B3415" s="19"/>
    </row>
    <row r="3416" spans="2:2" x14ac:dyDescent="0.25">
      <c r="B3416" s="19"/>
    </row>
    <row r="3417" spans="2:2" x14ac:dyDescent="0.25">
      <c r="B3417" s="19"/>
    </row>
    <row r="3418" spans="2:2" x14ac:dyDescent="0.25">
      <c r="B3418" s="19"/>
    </row>
    <row r="3419" spans="2:2" x14ac:dyDescent="0.25">
      <c r="B3419" s="19"/>
    </row>
    <row r="3420" spans="2:2" x14ac:dyDescent="0.25">
      <c r="B3420" s="19"/>
    </row>
    <row r="3421" spans="2:2" x14ac:dyDescent="0.25">
      <c r="B3421" s="19"/>
    </row>
    <row r="3422" spans="2:2" x14ac:dyDescent="0.25">
      <c r="B3422" s="19"/>
    </row>
    <row r="3423" spans="2:2" x14ac:dyDescent="0.25">
      <c r="B3423" s="19"/>
    </row>
    <row r="3424" spans="2:2" x14ac:dyDescent="0.25">
      <c r="B3424" s="19"/>
    </row>
    <row r="3425" spans="2:2" x14ac:dyDescent="0.25">
      <c r="B3425" s="19"/>
    </row>
    <row r="3426" spans="2:2" x14ac:dyDescent="0.25">
      <c r="B3426" s="19"/>
    </row>
    <row r="3427" spans="2:2" x14ac:dyDescent="0.25">
      <c r="B3427" s="19"/>
    </row>
    <row r="3428" spans="2:2" x14ac:dyDescent="0.25">
      <c r="B3428" s="19"/>
    </row>
    <row r="3429" spans="2:2" x14ac:dyDescent="0.25">
      <c r="B3429" s="19"/>
    </row>
    <row r="3430" spans="2:2" x14ac:dyDescent="0.25">
      <c r="B3430" s="19"/>
    </row>
    <row r="3431" spans="2:2" x14ac:dyDescent="0.25">
      <c r="B3431" s="19"/>
    </row>
    <row r="3432" spans="2:2" x14ac:dyDescent="0.25">
      <c r="B3432" s="19"/>
    </row>
    <row r="3433" spans="2:2" x14ac:dyDescent="0.25">
      <c r="B3433" s="19"/>
    </row>
    <row r="3434" spans="2:2" x14ac:dyDescent="0.25">
      <c r="B3434" s="19"/>
    </row>
    <row r="3435" spans="2:2" x14ac:dyDescent="0.25">
      <c r="B3435" s="19"/>
    </row>
    <row r="3436" spans="2:2" x14ac:dyDescent="0.25">
      <c r="B3436" s="19"/>
    </row>
    <row r="3437" spans="2:2" x14ac:dyDescent="0.25">
      <c r="B3437" s="19"/>
    </row>
    <row r="3438" spans="2:2" x14ac:dyDescent="0.25">
      <c r="B3438" s="19"/>
    </row>
    <row r="3439" spans="2:2" x14ac:dyDescent="0.25">
      <c r="B3439" s="19"/>
    </row>
    <row r="3440" spans="2:2" x14ac:dyDescent="0.25">
      <c r="B3440" s="19"/>
    </row>
    <row r="3441" spans="2:2" x14ac:dyDescent="0.25">
      <c r="B3441" s="19"/>
    </row>
    <row r="3442" spans="2:2" x14ac:dyDescent="0.25">
      <c r="B3442" s="19"/>
    </row>
    <row r="3443" spans="2:2" x14ac:dyDescent="0.25">
      <c r="B3443" s="19"/>
    </row>
    <row r="3444" spans="2:2" x14ac:dyDescent="0.25">
      <c r="B3444" s="19"/>
    </row>
    <row r="3445" spans="2:2" x14ac:dyDescent="0.25">
      <c r="B3445" s="19"/>
    </row>
    <row r="3446" spans="2:2" x14ac:dyDescent="0.25">
      <c r="B3446" s="19"/>
    </row>
    <row r="3447" spans="2:2" x14ac:dyDescent="0.25">
      <c r="B3447" s="19"/>
    </row>
    <row r="3448" spans="2:2" x14ac:dyDescent="0.25">
      <c r="B3448" s="19"/>
    </row>
    <row r="3449" spans="2:2" x14ac:dyDescent="0.25">
      <c r="B3449" s="19"/>
    </row>
    <row r="3450" spans="2:2" x14ac:dyDescent="0.25">
      <c r="B3450" s="19"/>
    </row>
    <row r="3451" spans="2:2" x14ac:dyDescent="0.25">
      <c r="B3451" s="19"/>
    </row>
    <row r="3452" spans="2:2" x14ac:dyDescent="0.25">
      <c r="B3452" s="19"/>
    </row>
    <row r="3453" spans="2:2" x14ac:dyDescent="0.25">
      <c r="B3453" s="19"/>
    </row>
    <row r="3454" spans="2:2" x14ac:dyDescent="0.25">
      <c r="B3454" s="19"/>
    </row>
    <row r="3455" spans="2:2" x14ac:dyDescent="0.25">
      <c r="B3455" s="19"/>
    </row>
    <row r="3456" spans="2:2" x14ac:dyDescent="0.25">
      <c r="B3456" s="19"/>
    </row>
    <row r="3457" spans="2:2" x14ac:dyDescent="0.25">
      <c r="B3457" s="19"/>
    </row>
    <row r="3458" spans="2:2" x14ac:dyDescent="0.25">
      <c r="B3458" s="19"/>
    </row>
    <row r="3459" spans="2:2" x14ac:dyDescent="0.25">
      <c r="B3459" s="19"/>
    </row>
    <row r="3460" spans="2:2" x14ac:dyDescent="0.25">
      <c r="B3460" s="19"/>
    </row>
    <row r="3461" spans="2:2" x14ac:dyDescent="0.25">
      <c r="B3461" s="19"/>
    </row>
    <row r="3462" spans="2:2" x14ac:dyDescent="0.25">
      <c r="B3462" s="19"/>
    </row>
    <row r="3463" spans="2:2" x14ac:dyDescent="0.25">
      <c r="B3463" s="19"/>
    </row>
    <row r="3464" spans="2:2" x14ac:dyDescent="0.25">
      <c r="B3464" s="19"/>
    </row>
    <row r="3465" spans="2:2" x14ac:dyDescent="0.25">
      <c r="B3465" s="19"/>
    </row>
    <row r="3466" spans="2:2" x14ac:dyDescent="0.25">
      <c r="B3466" s="19"/>
    </row>
    <row r="3467" spans="2:2" x14ac:dyDescent="0.25">
      <c r="B3467" s="19"/>
    </row>
    <row r="3468" spans="2:2" x14ac:dyDescent="0.25">
      <c r="B3468" s="19"/>
    </row>
    <row r="3469" spans="2:2" x14ac:dyDescent="0.25">
      <c r="B3469" s="19"/>
    </row>
    <row r="3470" spans="2:2" x14ac:dyDescent="0.25">
      <c r="B3470" s="19"/>
    </row>
    <row r="3471" spans="2:2" x14ac:dyDescent="0.25">
      <c r="B3471" s="19"/>
    </row>
    <row r="3472" spans="2:2" x14ac:dyDescent="0.25">
      <c r="B3472" s="19"/>
    </row>
    <row r="3473" spans="2:2" x14ac:dyDescent="0.25">
      <c r="B3473" s="19"/>
    </row>
    <row r="3474" spans="2:2" x14ac:dyDescent="0.25">
      <c r="B3474" s="19"/>
    </row>
    <row r="3475" spans="2:2" x14ac:dyDescent="0.25">
      <c r="B3475" s="19"/>
    </row>
    <row r="3476" spans="2:2" x14ac:dyDescent="0.25">
      <c r="B3476" s="19"/>
    </row>
    <row r="3477" spans="2:2" x14ac:dyDescent="0.25">
      <c r="B3477" s="19"/>
    </row>
    <row r="3478" spans="2:2" x14ac:dyDescent="0.25">
      <c r="B3478" s="19"/>
    </row>
    <row r="3479" spans="2:2" x14ac:dyDescent="0.25">
      <c r="B3479" s="19"/>
    </row>
    <row r="3480" spans="2:2" x14ac:dyDescent="0.25">
      <c r="B3480" s="19"/>
    </row>
    <row r="3481" spans="2:2" x14ac:dyDescent="0.25">
      <c r="B3481" s="19"/>
    </row>
    <row r="3482" spans="2:2" x14ac:dyDescent="0.25">
      <c r="B3482" s="19"/>
    </row>
    <row r="3483" spans="2:2" x14ac:dyDescent="0.25">
      <c r="B3483" s="19"/>
    </row>
    <row r="3484" spans="2:2" x14ac:dyDescent="0.25">
      <c r="B3484" s="19"/>
    </row>
    <row r="3485" spans="2:2" x14ac:dyDescent="0.25">
      <c r="B3485" s="19"/>
    </row>
    <row r="3486" spans="2:2" x14ac:dyDescent="0.25">
      <c r="B3486" s="19"/>
    </row>
    <row r="3487" spans="2:2" x14ac:dyDescent="0.25">
      <c r="B3487" s="19"/>
    </row>
    <row r="3488" spans="2:2" x14ac:dyDescent="0.25">
      <c r="B3488" s="19"/>
    </row>
    <row r="3489" spans="2:2" x14ac:dyDescent="0.25">
      <c r="B3489" s="19"/>
    </row>
    <row r="3490" spans="2:2" x14ac:dyDescent="0.25">
      <c r="B3490" s="19"/>
    </row>
    <row r="3491" spans="2:2" x14ac:dyDescent="0.25">
      <c r="B3491" s="19"/>
    </row>
    <row r="3492" spans="2:2" x14ac:dyDescent="0.25">
      <c r="B3492" s="19"/>
    </row>
    <row r="3493" spans="2:2" x14ac:dyDescent="0.25">
      <c r="B3493" s="19"/>
    </row>
    <row r="3494" spans="2:2" x14ac:dyDescent="0.25">
      <c r="B3494" s="19"/>
    </row>
    <row r="3495" spans="2:2" x14ac:dyDescent="0.25">
      <c r="B3495" s="19"/>
    </row>
    <row r="3496" spans="2:2" x14ac:dyDescent="0.25">
      <c r="B3496" s="19"/>
    </row>
    <row r="3497" spans="2:2" x14ac:dyDescent="0.25">
      <c r="B3497" s="19"/>
    </row>
    <row r="3498" spans="2:2" x14ac:dyDescent="0.25">
      <c r="B3498" s="19"/>
    </row>
    <row r="3499" spans="2:2" x14ac:dyDescent="0.25">
      <c r="B3499" s="19"/>
    </row>
    <row r="3500" spans="2:2" x14ac:dyDescent="0.25">
      <c r="B3500" s="19"/>
    </row>
    <row r="3501" spans="2:2" x14ac:dyDescent="0.25">
      <c r="B3501" s="19"/>
    </row>
    <row r="3502" spans="2:2" x14ac:dyDescent="0.25">
      <c r="B3502" s="19"/>
    </row>
    <row r="3503" spans="2:2" x14ac:dyDescent="0.25">
      <c r="B3503" s="19"/>
    </row>
    <row r="3504" spans="2:2" x14ac:dyDescent="0.25">
      <c r="B3504" s="19"/>
    </row>
    <row r="3505" spans="2:2" x14ac:dyDescent="0.25">
      <c r="B3505" s="19"/>
    </row>
    <row r="3506" spans="2:2" x14ac:dyDescent="0.25">
      <c r="B3506" s="19"/>
    </row>
    <row r="3507" spans="2:2" x14ac:dyDescent="0.25">
      <c r="B3507" s="19"/>
    </row>
    <row r="3508" spans="2:2" x14ac:dyDescent="0.25">
      <c r="B3508" s="19"/>
    </row>
    <row r="3509" spans="2:2" x14ac:dyDescent="0.25">
      <c r="B3509" s="19"/>
    </row>
    <row r="3510" spans="2:2" x14ac:dyDescent="0.25">
      <c r="B3510" s="19"/>
    </row>
    <row r="3511" spans="2:2" x14ac:dyDescent="0.25">
      <c r="B3511" s="19"/>
    </row>
    <row r="3512" spans="2:2" x14ac:dyDescent="0.25">
      <c r="B3512" s="19"/>
    </row>
    <row r="3513" spans="2:2" x14ac:dyDescent="0.25">
      <c r="B3513" s="19"/>
    </row>
    <row r="3514" spans="2:2" x14ac:dyDescent="0.25">
      <c r="B3514" s="19"/>
    </row>
    <row r="3515" spans="2:2" x14ac:dyDescent="0.25">
      <c r="B3515" s="19"/>
    </row>
    <row r="3516" spans="2:2" x14ac:dyDescent="0.25">
      <c r="B3516" s="19"/>
    </row>
    <row r="3517" spans="2:2" x14ac:dyDescent="0.25">
      <c r="B3517" s="19"/>
    </row>
    <row r="3518" spans="2:2" x14ac:dyDescent="0.25">
      <c r="B3518" s="19"/>
    </row>
    <row r="3519" spans="2:2" x14ac:dyDescent="0.25">
      <c r="B3519" s="19"/>
    </row>
    <row r="3520" spans="2:2" x14ac:dyDescent="0.25">
      <c r="B3520" s="19"/>
    </row>
    <row r="3521" spans="2:2" x14ac:dyDescent="0.25">
      <c r="B3521" s="19"/>
    </row>
    <row r="3522" spans="2:2" x14ac:dyDescent="0.25">
      <c r="B3522" s="19"/>
    </row>
    <row r="3523" spans="2:2" x14ac:dyDescent="0.25">
      <c r="B3523" s="19"/>
    </row>
    <row r="3524" spans="2:2" x14ac:dyDescent="0.25">
      <c r="B3524" s="19"/>
    </row>
    <row r="3525" spans="2:2" x14ac:dyDescent="0.25">
      <c r="B3525" s="19"/>
    </row>
    <row r="3526" spans="2:2" x14ac:dyDescent="0.25">
      <c r="B3526" s="19"/>
    </row>
    <row r="3527" spans="2:2" x14ac:dyDescent="0.25">
      <c r="B3527" s="19"/>
    </row>
    <row r="3528" spans="2:2" x14ac:dyDescent="0.25">
      <c r="B3528" s="19"/>
    </row>
    <row r="3529" spans="2:2" x14ac:dyDescent="0.25">
      <c r="B3529" s="19"/>
    </row>
    <row r="3530" spans="2:2" x14ac:dyDescent="0.25">
      <c r="B3530" s="19"/>
    </row>
    <row r="3531" spans="2:2" x14ac:dyDescent="0.25">
      <c r="B3531" s="19"/>
    </row>
    <row r="3532" spans="2:2" x14ac:dyDescent="0.25">
      <c r="B3532" s="19"/>
    </row>
    <row r="3533" spans="2:2" x14ac:dyDescent="0.25">
      <c r="B3533" s="19"/>
    </row>
    <row r="3534" spans="2:2" x14ac:dyDescent="0.25">
      <c r="B3534" s="19"/>
    </row>
    <row r="3535" spans="2:2" x14ac:dyDescent="0.25">
      <c r="B3535" s="19"/>
    </row>
    <row r="3536" spans="2:2" x14ac:dyDescent="0.25">
      <c r="B3536" s="19"/>
    </row>
    <row r="3537" spans="2:2" x14ac:dyDescent="0.25">
      <c r="B3537" s="19"/>
    </row>
    <row r="3538" spans="2:2" x14ac:dyDescent="0.25">
      <c r="B3538" s="19"/>
    </row>
    <row r="3539" spans="2:2" x14ac:dyDescent="0.25">
      <c r="B3539" s="19"/>
    </row>
    <row r="3540" spans="2:2" x14ac:dyDescent="0.25">
      <c r="B3540" s="19"/>
    </row>
    <row r="3541" spans="2:2" x14ac:dyDescent="0.25">
      <c r="B3541" s="19"/>
    </row>
    <row r="3542" spans="2:2" x14ac:dyDescent="0.25">
      <c r="B3542" s="19"/>
    </row>
    <row r="3543" spans="2:2" x14ac:dyDescent="0.25">
      <c r="B3543" s="19"/>
    </row>
    <row r="3544" spans="2:2" x14ac:dyDescent="0.25">
      <c r="B3544" s="19"/>
    </row>
    <row r="3545" spans="2:2" x14ac:dyDescent="0.25">
      <c r="B3545" s="19"/>
    </row>
    <row r="3546" spans="2:2" x14ac:dyDescent="0.25">
      <c r="B3546" s="19"/>
    </row>
    <row r="3547" spans="2:2" x14ac:dyDescent="0.25">
      <c r="B3547" s="19"/>
    </row>
    <row r="3548" spans="2:2" x14ac:dyDescent="0.25">
      <c r="B3548" s="19"/>
    </row>
    <row r="3549" spans="2:2" x14ac:dyDescent="0.25">
      <c r="B3549" s="19"/>
    </row>
    <row r="3550" spans="2:2" x14ac:dyDescent="0.25">
      <c r="B3550" s="19"/>
    </row>
    <row r="3551" spans="2:2" x14ac:dyDescent="0.25">
      <c r="B3551" s="19"/>
    </row>
    <row r="3552" spans="2:2" x14ac:dyDescent="0.25">
      <c r="B3552" s="19"/>
    </row>
    <row r="3553" spans="2:2" x14ac:dyDescent="0.25">
      <c r="B3553" s="19"/>
    </row>
    <row r="3554" spans="2:2" x14ac:dyDescent="0.25">
      <c r="B3554" s="19"/>
    </row>
    <row r="3555" spans="2:2" x14ac:dyDescent="0.25">
      <c r="B3555" s="19"/>
    </row>
    <row r="3556" spans="2:2" x14ac:dyDescent="0.25">
      <c r="B3556" s="19"/>
    </row>
    <row r="3557" spans="2:2" x14ac:dyDescent="0.25">
      <c r="B3557" s="19"/>
    </row>
    <row r="3558" spans="2:2" x14ac:dyDescent="0.25">
      <c r="B3558" s="19"/>
    </row>
    <row r="3559" spans="2:2" x14ac:dyDescent="0.25">
      <c r="B3559" s="19"/>
    </row>
    <row r="3560" spans="2:2" x14ac:dyDescent="0.25">
      <c r="B3560" s="19"/>
    </row>
    <row r="3561" spans="2:2" x14ac:dyDescent="0.25">
      <c r="B3561" s="19"/>
    </row>
    <row r="3562" spans="2:2" x14ac:dyDescent="0.25">
      <c r="B3562" s="19"/>
    </row>
    <row r="3563" spans="2:2" x14ac:dyDescent="0.25">
      <c r="B3563" s="19"/>
    </row>
    <row r="3564" spans="2:2" x14ac:dyDescent="0.25">
      <c r="B3564" s="19"/>
    </row>
    <row r="3565" spans="2:2" x14ac:dyDescent="0.25">
      <c r="B3565" s="19"/>
    </row>
    <row r="3566" spans="2:2" x14ac:dyDescent="0.25">
      <c r="B3566" s="19"/>
    </row>
    <row r="3567" spans="2:2" x14ac:dyDescent="0.25">
      <c r="B3567" s="19"/>
    </row>
    <row r="3568" spans="2:2" x14ac:dyDescent="0.25">
      <c r="B3568" s="19"/>
    </row>
    <row r="3569" spans="2:2" x14ac:dyDescent="0.25">
      <c r="B3569" s="19"/>
    </row>
    <row r="3570" spans="2:2" x14ac:dyDescent="0.25">
      <c r="B3570" s="19"/>
    </row>
    <row r="3571" spans="2:2" x14ac:dyDescent="0.25">
      <c r="B3571" s="19"/>
    </row>
    <row r="3572" spans="2:2" x14ac:dyDescent="0.25">
      <c r="B3572" s="19"/>
    </row>
    <row r="3573" spans="2:2" x14ac:dyDescent="0.25">
      <c r="B3573" s="19"/>
    </row>
    <row r="3574" spans="2:2" x14ac:dyDescent="0.25">
      <c r="B3574" s="19"/>
    </row>
    <row r="3575" spans="2:2" x14ac:dyDescent="0.25">
      <c r="B3575" s="19"/>
    </row>
    <row r="3576" spans="2:2" x14ac:dyDescent="0.25">
      <c r="B3576" s="19"/>
    </row>
    <row r="3577" spans="2:2" x14ac:dyDescent="0.25">
      <c r="B3577" s="19"/>
    </row>
    <row r="3578" spans="2:2" x14ac:dyDescent="0.25">
      <c r="B3578" s="19"/>
    </row>
    <row r="3579" spans="2:2" x14ac:dyDescent="0.25">
      <c r="B3579" s="19"/>
    </row>
    <row r="3580" spans="2:2" x14ac:dyDescent="0.25">
      <c r="B3580" s="19"/>
    </row>
    <row r="3581" spans="2:2" x14ac:dyDescent="0.25">
      <c r="B3581" s="19"/>
    </row>
    <row r="3582" spans="2:2" x14ac:dyDescent="0.25">
      <c r="B3582" s="19"/>
    </row>
    <row r="3583" spans="2:2" x14ac:dyDescent="0.25">
      <c r="B3583" s="19"/>
    </row>
    <row r="3584" spans="2:2" x14ac:dyDescent="0.25">
      <c r="B3584" s="19"/>
    </row>
    <row r="3585" spans="2:2" x14ac:dyDescent="0.25">
      <c r="B3585" s="19"/>
    </row>
    <row r="3586" spans="2:2" x14ac:dyDescent="0.25">
      <c r="B3586" s="19"/>
    </row>
    <row r="3587" spans="2:2" x14ac:dyDescent="0.25">
      <c r="B3587" s="19"/>
    </row>
    <row r="3588" spans="2:2" x14ac:dyDescent="0.25">
      <c r="B3588" s="19"/>
    </row>
    <row r="3589" spans="2:2" x14ac:dyDescent="0.25">
      <c r="B3589" s="19"/>
    </row>
    <row r="3590" spans="2:2" x14ac:dyDescent="0.25">
      <c r="B3590" s="19"/>
    </row>
    <row r="3591" spans="2:2" x14ac:dyDescent="0.25">
      <c r="B3591" s="19"/>
    </row>
    <row r="3592" spans="2:2" x14ac:dyDescent="0.25">
      <c r="B3592" s="19"/>
    </row>
    <row r="3593" spans="2:2" x14ac:dyDescent="0.25">
      <c r="B3593" s="19"/>
    </row>
    <row r="3594" spans="2:2" x14ac:dyDescent="0.25">
      <c r="B3594" s="19"/>
    </row>
    <row r="3595" spans="2:2" x14ac:dyDescent="0.25">
      <c r="B3595" s="19"/>
    </row>
    <row r="3596" spans="2:2" x14ac:dyDescent="0.25">
      <c r="B3596" s="19"/>
    </row>
    <row r="3597" spans="2:2" x14ac:dyDescent="0.25">
      <c r="B3597" s="19"/>
    </row>
    <row r="3598" spans="2:2" x14ac:dyDescent="0.25">
      <c r="B3598" s="19"/>
    </row>
    <row r="3599" spans="2:2" x14ac:dyDescent="0.25">
      <c r="B3599" s="19"/>
    </row>
    <row r="3600" spans="2:2" x14ac:dyDescent="0.25">
      <c r="B3600" s="19"/>
    </row>
    <row r="3601" spans="2:2" x14ac:dyDescent="0.25">
      <c r="B3601" s="19"/>
    </row>
    <row r="3602" spans="2:2" x14ac:dyDescent="0.25">
      <c r="B3602" s="19"/>
    </row>
    <row r="3603" spans="2:2" x14ac:dyDescent="0.25">
      <c r="B3603" s="19"/>
    </row>
    <row r="3604" spans="2:2" x14ac:dyDescent="0.25">
      <c r="B3604" s="19"/>
    </row>
    <row r="3605" spans="2:2" x14ac:dyDescent="0.25">
      <c r="B3605" s="19"/>
    </row>
    <row r="3606" spans="2:2" x14ac:dyDescent="0.25">
      <c r="B3606" s="19"/>
    </row>
    <row r="3607" spans="2:2" x14ac:dyDescent="0.25">
      <c r="B3607" s="19"/>
    </row>
    <row r="3608" spans="2:2" x14ac:dyDescent="0.25">
      <c r="B3608" s="19"/>
    </row>
    <row r="3609" spans="2:2" x14ac:dyDescent="0.25">
      <c r="B3609" s="19"/>
    </row>
    <row r="3610" spans="2:2" x14ac:dyDescent="0.25">
      <c r="B3610" s="19"/>
    </row>
    <row r="3611" spans="2:2" x14ac:dyDescent="0.25">
      <c r="B3611" s="19"/>
    </row>
    <row r="3612" spans="2:2" x14ac:dyDescent="0.25">
      <c r="B3612" s="19"/>
    </row>
    <row r="3613" spans="2:2" x14ac:dyDescent="0.25">
      <c r="B3613" s="19"/>
    </row>
    <row r="3614" spans="2:2" x14ac:dyDescent="0.25">
      <c r="B3614" s="19"/>
    </row>
    <row r="3615" spans="2:2" x14ac:dyDescent="0.25">
      <c r="B3615" s="19"/>
    </row>
    <row r="3616" spans="2:2" x14ac:dyDescent="0.25">
      <c r="B3616" s="19"/>
    </row>
    <row r="3617" spans="2:2" x14ac:dyDescent="0.25">
      <c r="B3617" s="19"/>
    </row>
    <row r="3618" spans="2:2" x14ac:dyDescent="0.25">
      <c r="B3618" s="19"/>
    </row>
    <row r="3619" spans="2:2" x14ac:dyDescent="0.25">
      <c r="B3619" s="19"/>
    </row>
    <row r="3620" spans="2:2" x14ac:dyDescent="0.25">
      <c r="B3620" s="19"/>
    </row>
    <row r="3621" spans="2:2" x14ac:dyDescent="0.25">
      <c r="B3621" s="19"/>
    </row>
    <row r="3622" spans="2:2" x14ac:dyDescent="0.25">
      <c r="B3622" s="19"/>
    </row>
    <row r="3623" spans="2:2" x14ac:dyDescent="0.25">
      <c r="B3623" s="19"/>
    </row>
    <row r="3624" spans="2:2" x14ac:dyDescent="0.25">
      <c r="B3624" s="19"/>
    </row>
    <row r="3625" spans="2:2" x14ac:dyDescent="0.25">
      <c r="B3625" s="19"/>
    </row>
    <row r="3626" spans="2:2" x14ac:dyDescent="0.25">
      <c r="B3626" s="19"/>
    </row>
    <row r="3627" spans="2:2" x14ac:dyDescent="0.25">
      <c r="B3627" s="19"/>
    </row>
    <row r="3628" spans="2:2" x14ac:dyDescent="0.25">
      <c r="B3628" s="19"/>
    </row>
    <row r="3629" spans="2:2" x14ac:dyDescent="0.25">
      <c r="B3629" s="19"/>
    </row>
    <row r="3630" spans="2:2" x14ac:dyDescent="0.25">
      <c r="B3630" s="19"/>
    </row>
    <row r="3631" spans="2:2" x14ac:dyDescent="0.25">
      <c r="B3631" s="19"/>
    </row>
    <row r="3632" spans="2:2" x14ac:dyDescent="0.25">
      <c r="B3632" s="19"/>
    </row>
    <row r="3633" spans="2:2" x14ac:dyDescent="0.25">
      <c r="B3633" s="19"/>
    </row>
    <row r="3634" spans="2:2" x14ac:dyDescent="0.25">
      <c r="B3634" s="19"/>
    </row>
    <row r="3635" spans="2:2" x14ac:dyDescent="0.25">
      <c r="B3635" s="19"/>
    </row>
    <row r="3636" spans="2:2" x14ac:dyDescent="0.25">
      <c r="B3636" s="19"/>
    </row>
    <row r="3637" spans="2:2" x14ac:dyDescent="0.25">
      <c r="B3637" s="19"/>
    </row>
    <row r="3638" spans="2:2" x14ac:dyDescent="0.25">
      <c r="B3638" s="19"/>
    </row>
    <row r="3639" spans="2:2" x14ac:dyDescent="0.25">
      <c r="B3639" s="19"/>
    </row>
    <row r="3640" spans="2:2" x14ac:dyDescent="0.25">
      <c r="B3640" s="19"/>
    </row>
    <row r="3641" spans="2:2" x14ac:dyDescent="0.25">
      <c r="B3641" s="19"/>
    </row>
    <row r="3642" spans="2:2" x14ac:dyDescent="0.25">
      <c r="B3642" s="19"/>
    </row>
    <row r="3643" spans="2:2" x14ac:dyDescent="0.25">
      <c r="B3643" s="19"/>
    </row>
    <row r="3644" spans="2:2" x14ac:dyDescent="0.25">
      <c r="B3644" s="19"/>
    </row>
    <row r="3645" spans="2:2" x14ac:dyDescent="0.25">
      <c r="B3645" s="19"/>
    </row>
    <row r="3646" spans="2:2" x14ac:dyDescent="0.25">
      <c r="B3646" s="19"/>
    </row>
    <row r="3647" spans="2:2" x14ac:dyDescent="0.25">
      <c r="B3647" s="19"/>
    </row>
    <row r="3648" spans="2:2" x14ac:dyDescent="0.25">
      <c r="B3648" s="19"/>
    </row>
    <row r="3649" spans="2:2" x14ac:dyDescent="0.25">
      <c r="B3649" s="19"/>
    </row>
    <row r="3650" spans="2:2" x14ac:dyDescent="0.25">
      <c r="B3650" s="19"/>
    </row>
    <row r="3651" spans="2:2" x14ac:dyDescent="0.25">
      <c r="B3651" s="19"/>
    </row>
    <row r="3652" spans="2:2" x14ac:dyDescent="0.25">
      <c r="B3652" s="19"/>
    </row>
    <row r="3653" spans="2:2" x14ac:dyDescent="0.25">
      <c r="B3653" s="19"/>
    </row>
    <row r="3654" spans="2:2" x14ac:dyDescent="0.25">
      <c r="B3654" s="19"/>
    </row>
    <row r="3655" spans="2:2" x14ac:dyDescent="0.25">
      <c r="B3655" s="19"/>
    </row>
    <row r="3656" spans="2:2" x14ac:dyDescent="0.25">
      <c r="B3656" s="19"/>
    </row>
    <row r="3657" spans="2:2" x14ac:dyDescent="0.25">
      <c r="B3657" s="19"/>
    </row>
    <row r="3658" spans="2:2" x14ac:dyDescent="0.25">
      <c r="B3658" s="19"/>
    </row>
    <row r="3659" spans="2:2" x14ac:dyDescent="0.25">
      <c r="B3659" s="19"/>
    </row>
    <row r="3660" spans="2:2" x14ac:dyDescent="0.25">
      <c r="B3660" s="19"/>
    </row>
    <row r="3661" spans="2:2" x14ac:dyDescent="0.25">
      <c r="B3661" s="19"/>
    </row>
    <row r="3662" spans="2:2" x14ac:dyDescent="0.25">
      <c r="B3662" s="19"/>
    </row>
    <row r="3663" spans="2:2" x14ac:dyDescent="0.25">
      <c r="B3663" s="19"/>
    </row>
    <row r="3664" spans="2:2" x14ac:dyDescent="0.25">
      <c r="B3664" s="19"/>
    </row>
    <row r="3665" spans="2:2" x14ac:dyDescent="0.25">
      <c r="B3665" s="19"/>
    </row>
    <row r="3666" spans="2:2" x14ac:dyDescent="0.25">
      <c r="B3666" s="19"/>
    </row>
    <row r="3667" spans="2:2" x14ac:dyDescent="0.25">
      <c r="B3667" s="19"/>
    </row>
    <row r="3668" spans="2:2" x14ac:dyDescent="0.25">
      <c r="B3668" s="19"/>
    </row>
    <row r="3669" spans="2:2" x14ac:dyDescent="0.25">
      <c r="B3669" s="19"/>
    </row>
    <row r="3670" spans="2:2" x14ac:dyDescent="0.25">
      <c r="B3670" s="19"/>
    </row>
    <row r="3671" spans="2:2" x14ac:dyDescent="0.25">
      <c r="B3671" s="19"/>
    </row>
    <row r="3672" spans="2:2" x14ac:dyDescent="0.25">
      <c r="B3672" s="19"/>
    </row>
    <row r="3673" spans="2:2" x14ac:dyDescent="0.25">
      <c r="B3673" s="19"/>
    </row>
    <row r="3674" spans="2:2" x14ac:dyDescent="0.25">
      <c r="B3674" s="19"/>
    </row>
    <row r="3675" spans="2:2" x14ac:dyDescent="0.25">
      <c r="B3675" s="19"/>
    </row>
    <row r="3676" spans="2:2" x14ac:dyDescent="0.25">
      <c r="B3676" s="19"/>
    </row>
    <row r="3677" spans="2:2" x14ac:dyDescent="0.25">
      <c r="B3677" s="19"/>
    </row>
    <row r="3678" spans="2:2" x14ac:dyDescent="0.25">
      <c r="B3678" s="19"/>
    </row>
    <row r="3679" spans="2:2" x14ac:dyDescent="0.25">
      <c r="B3679" s="19"/>
    </row>
    <row r="3680" spans="2:2" x14ac:dyDescent="0.25">
      <c r="B3680" s="19"/>
    </row>
    <row r="3681" spans="2:2" x14ac:dyDescent="0.25">
      <c r="B3681" s="19"/>
    </row>
    <row r="3682" spans="2:2" x14ac:dyDescent="0.25">
      <c r="B3682" s="19"/>
    </row>
    <row r="3683" spans="2:2" x14ac:dyDescent="0.25">
      <c r="B3683" s="19"/>
    </row>
    <row r="3684" spans="2:2" x14ac:dyDescent="0.25">
      <c r="B3684" s="19"/>
    </row>
    <row r="3685" spans="2:2" x14ac:dyDescent="0.25">
      <c r="B3685" s="19"/>
    </row>
    <row r="3686" spans="2:2" x14ac:dyDescent="0.25">
      <c r="B3686" s="19"/>
    </row>
    <row r="3687" spans="2:2" x14ac:dyDescent="0.25">
      <c r="B3687" s="19"/>
    </row>
    <row r="3688" spans="2:2" x14ac:dyDescent="0.25">
      <c r="B3688" s="19"/>
    </row>
    <row r="3689" spans="2:2" x14ac:dyDescent="0.25">
      <c r="B3689" s="19"/>
    </row>
    <row r="3690" spans="2:2" x14ac:dyDescent="0.25">
      <c r="B3690" s="19"/>
    </row>
    <row r="3691" spans="2:2" x14ac:dyDescent="0.25">
      <c r="B3691" s="19"/>
    </row>
    <row r="3692" spans="2:2" x14ac:dyDescent="0.25">
      <c r="B3692" s="19"/>
    </row>
    <row r="3693" spans="2:2" x14ac:dyDescent="0.25">
      <c r="B3693" s="19"/>
    </row>
    <row r="3694" spans="2:2" x14ac:dyDescent="0.25">
      <c r="B3694" s="19"/>
    </row>
    <row r="3695" spans="2:2" x14ac:dyDescent="0.25">
      <c r="B3695" s="19"/>
    </row>
    <row r="3696" spans="2:2" x14ac:dyDescent="0.25">
      <c r="B3696" s="19"/>
    </row>
    <row r="3697" spans="2:2" x14ac:dyDescent="0.25">
      <c r="B3697" s="19"/>
    </row>
    <row r="3698" spans="2:2" x14ac:dyDescent="0.25">
      <c r="B3698" s="19"/>
    </row>
    <row r="3699" spans="2:2" x14ac:dyDescent="0.25">
      <c r="B3699" s="19"/>
    </row>
    <row r="3700" spans="2:2" x14ac:dyDescent="0.25">
      <c r="B3700" s="19"/>
    </row>
    <row r="3701" spans="2:2" x14ac:dyDescent="0.25">
      <c r="B3701" s="19"/>
    </row>
    <row r="3702" spans="2:2" x14ac:dyDescent="0.25">
      <c r="B3702" s="19"/>
    </row>
    <row r="3703" spans="2:2" x14ac:dyDescent="0.25">
      <c r="B3703" s="19"/>
    </row>
    <row r="3704" spans="2:2" x14ac:dyDescent="0.25">
      <c r="B3704" s="19"/>
    </row>
    <row r="3705" spans="2:2" x14ac:dyDescent="0.25">
      <c r="B3705" s="19"/>
    </row>
    <row r="3706" spans="2:2" x14ac:dyDescent="0.25">
      <c r="B3706" s="19"/>
    </row>
    <row r="3707" spans="2:2" x14ac:dyDescent="0.25">
      <c r="B3707" s="19"/>
    </row>
    <row r="3708" spans="2:2" x14ac:dyDescent="0.25">
      <c r="B3708" s="19"/>
    </row>
    <row r="3709" spans="2:2" x14ac:dyDescent="0.25">
      <c r="B3709" s="19"/>
    </row>
    <row r="3710" spans="2:2" x14ac:dyDescent="0.25">
      <c r="B3710" s="19"/>
    </row>
    <row r="3711" spans="2:2" x14ac:dyDescent="0.25">
      <c r="B3711" s="19"/>
    </row>
    <row r="3712" spans="2:2" x14ac:dyDescent="0.25">
      <c r="B3712" s="19"/>
    </row>
    <row r="3713" spans="2:2" x14ac:dyDescent="0.25">
      <c r="B3713" s="19"/>
    </row>
    <row r="3714" spans="2:2" x14ac:dyDescent="0.25">
      <c r="B3714" s="19"/>
    </row>
    <row r="3715" spans="2:2" x14ac:dyDescent="0.25">
      <c r="B3715" s="19"/>
    </row>
    <row r="3716" spans="2:2" x14ac:dyDescent="0.25">
      <c r="B3716" s="19"/>
    </row>
    <row r="3717" spans="2:2" x14ac:dyDescent="0.25">
      <c r="B3717" s="19"/>
    </row>
    <row r="3718" spans="2:2" x14ac:dyDescent="0.25">
      <c r="B3718" s="19"/>
    </row>
    <row r="3719" spans="2:2" x14ac:dyDescent="0.25">
      <c r="B3719" s="19"/>
    </row>
    <row r="3720" spans="2:2" x14ac:dyDescent="0.25">
      <c r="B3720" s="19"/>
    </row>
    <row r="3721" spans="2:2" x14ac:dyDescent="0.25">
      <c r="B3721" s="19"/>
    </row>
    <row r="3722" spans="2:2" x14ac:dyDescent="0.25">
      <c r="B3722" s="19"/>
    </row>
    <row r="3723" spans="2:2" x14ac:dyDescent="0.25">
      <c r="B3723" s="19"/>
    </row>
    <row r="3724" spans="2:2" x14ac:dyDescent="0.25">
      <c r="B3724" s="19"/>
    </row>
    <row r="3725" spans="2:2" x14ac:dyDescent="0.25">
      <c r="B3725" s="19"/>
    </row>
    <row r="3726" spans="2:2" x14ac:dyDescent="0.25">
      <c r="B3726" s="19"/>
    </row>
    <row r="3727" spans="2:2" x14ac:dyDescent="0.25">
      <c r="B3727" s="19"/>
    </row>
    <row r="3728" spans="2:2" x14ac:dyDescent="0.25">
      <c r="B3728" s="19"/>
    </row>
    <row r="3729" spans="2:2" x14ac:dyDescent="0.25">
      <c r="B3729" s="19"/>
    </row>
    <row r="3730" spans="2:2" x14ac:dyDescent="0.25">
      <c r="B3730" s="19"/>
    </row>
    <row r="3731" spans="2:2" x14ac:dyDescent="0.25">
      <c r="B3731" s="19"/>
    </row>
    <row r="3732" spans="2:2" x14ac:dyDescent="0.25">
      <c r="B3732" s="19"/>
    </row>
    <row r="3733" spans="2:2" x14ac:dyDescent="0.25">
      <c r="B3733" s="19"/>
    </row>
    <row r="3734" spans="2:2" x14ac:dyDescent="0.25">
      <c r="B3734" s="19"/>
    </row>
    <row r="3735" spans="2:2" x14ac:dyDescent="0.25">
      <c r="B3735" s="19"/>
    </row>
    <row r="3736" spans="2:2" x14ac:dyDescent="0.25">
      <c r="B3736" s="19"/>
    </row>
    <row r="3737" spans="2:2" x14ac:dyDescent="0.25">
      <c r="B3737" s="19"/>
    </row>
    <row r="3738" spans="2:2" x14ac:dyDescent="0.25">
      <c r="B3738" s="19"/>
    </row>
    <row r="3739" spans="2:2" x14ac:dyDescent="0.25">
      <c r="B3739" s="19"/>
    </row>
    <row r="3740" spans="2:2" x14ac:dyDescent="0.25">
      <c r="B3740" s="19"/>
    </row>
    <row r="3741" spans="2:2" x14ac:dyDescent="0.25">
      <c r="B3741" s="19"/>
    </row>
    <row r="3742" spans="2:2" x14ac:dyDescent="0.25">
      <c r="B3742" s="19"/>
    </row>
    <row r="3743" spans="2:2" x14ac:dyDescent="0.25">
      <c r="B3743" s="19"/>
    </row>
    <row r="3744" spans="2:2" x14ac:dyDescent="0.25">
      <c r="B3744" s="19"/>
    </row>
    <row r="3745" spans="2:2" x14ac:dyDescent="0.25">
      <c r="B3745" s="19"/>
    </row>
    <row r="3746" spans="2:2" x14ac:dyDescent="0.25">
      <c r="B3746" s="19"/>
    </row>
    <row r="3747" spans="2:2" x14ac:dyDescent="0.25">
      <c r="B3747" s="19"/>
    </row>
    <row r="3748" spans="2:2" x14ac:dyDescent="0.25">
      <c r="B3748" s="19"/>
    </row>
    <row r="3749" spans="2:2" x14ac:dyDescent="0.25">
      <c r="B3749" s="19"/>
    </row>
    <row r="3750" spans="2:2" x14ac:dyDescent="0.25">
      <c r="B3750" s="19"/>
    </row>
    <row r="3751" spans="2:2" x14ac:dyDescent="0.25">
      <c r="B3751" s="19"/>
    </row>
    <row r="3752" spans="2:2" x14ac:dyDescent="0.25">
      <c r="B3752" s="19"/>
    </row>
    <row r="3753" spans="2:2" x14ac:dyDescent="0.25">
      <c r="B3753" s="19"/>
    </row>
    <row r="3754" spans="2:2" x14ac:dyDescent="0.25">
      <c r="B3754" s="19"/>
    </row>
    <row r="3755" spans="2:2" x14ac:dyDescent="0.25">
      <c r="B3755" s="19"/>
    </row>
    <row r="3756" spans="2:2" x14ac:dyDescent="0.25">
      <c r="B3756" s="19"/>
    </row>
    <row r="3757" spans="2:2" x14ac:dyDescent="0.25">
      <c r="B3757" s="19"/>
    </row>
    <row r="3758" spans="2:2" x14ac:dyDescent="0.25">
      <c r="B3758" s="19"/>
    </row>
    <row r="3759" spans="2:2" x14ac:dyDescent="0.25">
      <c r="B3759" s="19"/>
    </row>
    <row r="3760" spans="2:2" x14ac:dyDescent="0.25">
      <c r="B3760" s="19"/>
    </row>
    <row r="3761" spans="2:2" x14ac:dyDescent="0.25">
      <c r="B3761" s="19"/>
    </row>
    <row r="3762" spans="2:2" x14ac:dyDescent="0.25">
      <c r="B3762" s="19"/>
    </row>
    <row r="3763" spans="2:2" x14ac:dyDescent="0.25">
      <c r="B3763" s="19"/>
    </row>
    <row r="3764" spans="2:2" x14ac:dyDescent="0.25">
      <c r="B3764" s="19"/>
    </row>
    <row r="3765" spans="2:2" x14ac:dyDescent="0.25">
      <c r="B3765" s="19"/>
    </row>
    <row r="3766" spans="2:2" x14ac:dyDescent="0.25">
      <c r="B3766" s="19"/>
    </row>
    <row r="3767" spans="2:2" x14ac:dyDescent="0.25">
      <c r="B3767" s="19"/>
    </row>
    <row r="3768" spans="2:2" x14ac:dyDescent="0.25">
      <c r="B3768" s="19"/>
    </row>
    <row r="3769" spans="2:2" x14ac:dyDescent="0.25">
      <c r="B3769" s="19"/>
    </row>
    <row r="3770" spans="2:2" x14ac:dyDescent="0.25">
      <c r="B3770" s="19"/>
    </row>
    <row r="3771" spans="2:2" x14ac:dyDescent="0.25">
      <c r="B3771" s="19"/>
    </row>
    <row r="3772" spans="2:2" x14ac:dyDescent="0.25">
      <c r="B3772" s="19"/>
    </row>
    <row r="3773" spans="2:2" x14ac:dyDescent="0.25">
      <c r="B3773" s="19"/>
    </row>
    <row r="3774" spans="2:2" x14ac:dyDescent="0.25">
      <c r="B3774" s="19"/>
    </row>
    <row r="3775" spans="2:2" x14ac:dyDescent="0.25">
      <c r="B3775" s="19"/>
    </row>
    <row r="3776" spans="2:2" x14ac:dyDescent="0.25">
      <c r="B3776" s="19"/>
    </row>
    <row r="3777" spans="2:2" x14ac:dyDescent="0.25">
      <c r="B3777" s="19"/>
    </row>
    <row r="3778" spans="2:2" x14ac:dyDescent="0.25">
      <c r="B3778" s="19"/>
    </row>
    <row r="3779" spans="2:2" x14ac:dyDescent="0.25">
      <c r="B3779" s="19"/>
    </row>
    <row r="3780" spans="2:2" x14ac:dyDescent="0.25">
      <c r="B3780" s="19"/>
    </row>
    <row r="3781" spans="2:2" x14ac:dyDescent="0.25">
      <c r="B3781" s="19"/>
    </row>
    <row r="3782" spans="2:2" x14ac:dyDescent="0.25">
      <c r="B3782" s="19"/>
    </row>
    <row r="3783" spans="2:2" x14ac:dyDescent="0.25">
      <c r="B3783" s="19"/>
    </row>
    <row r="3784" spans="2:2" x14ac:dyDescent="0.25">
      <c r="B3784" s="19"/>
    </row>
    <row r="3785" spans="2:2" x14ac:dyDescent="0.25">
      <c r="B3785" s="19"/>
    </row>
    <row r="3786" spans="2:2" x14ac:dyDescent="0.25">
      <c r="B3786" s="19"/>
    </row>
    <row r="3787" spans="2:2" x14ac:dyDescent="0.25">
      <c r="B3787" s="19"/>
    </row>
    <row r="3788" spans="2:2" x14ac:dyDescent="0.25">
      <c r="B3788" s="19"/>
    </row>
    <row r="3789" spans="2:2" x14ac:dyDescent="0.25">
      <c r="B3789" s="19"/>
    </row>
    <row r="3790" spans="2:2" x14ac:dyDescent="0.25">
      <c r="B3790" s="19"/>
    </row>
    <row r="3791" spans="2:2" x14ac:dyDescent="0.25">
      <c r="B3791" s="19"/>
    </row>
    <row r="3792" spans="2:2" x14ac:dyDescent="0.25">
      <c r="B3792" s="19"/>
    </row>
    <row r="3793" spans="2:2" x14ac:dyDescent="0.25">
      <c r="B3793" s="19"/>
    </row>
    <row r="3794" spans="2:2" x14ac:dyDescent="0.25">
      <c r="B3794" s="19"/>
    </row>
    <row r="3795" spans="2:2" x14ac:dyDescent="0.25">
      <c r="B3795" s="19"/>
    </row>
    <row r="3796" spans="2:2" x14ac:dyDescent="0.25">
      <c r="B3796" s="19"/>
    </row>
    <row r="3797" spans="2:2" x14ac:dyDescent="0.25">
      <c r="B3797" s="19"/>
    </row>
    <row r="3798" spans="2:2" x14ac:dyDescent="0.25">
      <c r="B3798" s="19"/>
    </row>
    <row r="3799" spans="2:2" x14ac:dyDescent="0.25">
      <c r="B3799" s="19"/>
    </row>
    <row r="3800" spans="2:2" x14ac:dyDescent="0.25">
      <c r="B3800" s="19"/>
    </row>
    <row r="3801" spans="2:2" x14ac:dyDescent="0.25">
      <c r="B3801" s="19"/>
    </row>
    <row r="3802" spans="2:2" x14ac:dyDescent="0.25">
      <c r="B3802" s="19"/>
    </row>
    <row r="3803" spans="2:2" x14ac:dyDescent="0.25">
      <c r="B3803" s="19"/>
    </row>
    <row r="3804" spans="2:2" x14ac:dyDescent="0.25">
      <c r="B3804" s="19"/>
    </row>
    <row r="3805" spans="2:2" x14ac:dyDescent="0.25">
      <c r="B3805" s="19"/>
    </row>
    <row r="3806" spans="2:2" x14ac:dyDescent="0.25">
      <c r="B3806" s="19"/>
    </row>
    <row r="3807" spans="2:2" x14ac:dyDescent="0.25">
      <c r="B3807" s="19"/>
    </row>
    <row r="3808" spans="2:2" x14ac:dyDescent="0.25">
      <c r="B3808" s="19"/>
    </row>
    <row r="3809" spans="2:2" x14ac:dyDescent="0.25">
      <c r="B3809" s="19"/>
    </row>
    <row r="3810" spans="2:2" x14ac:dyDescent="0.25">
      <c r="B3810" s="19"/>
    </row>
    <row r="3811" spans="2:2" x14ac:dyDescent="0.25">
      <c r="B3811" s="19"/>
    </row>
    <row r="3812" spans="2:2" x14ac:dyDescent="0.25">
      <c r="B3812" s="19"/>
    </row>
    <row r="3813" spans="2:2" x14ac:dyDescent="0.25">
      <c r="B3813" s="19"/>
    </row>
    <row r="3814" spans="2:2" x14ac:dyDescent="0.25">
      <c r="B3814" s="19"/>
    </row>
    <row r="3815" spans="2:2" x14ac:dyDescent="0.25">
      <c r="B3815" s="19"/>
    </row>
    <row r="3816" spans="2:2" x14ac:dyDescent="0.25">
      <c r="B3816" s="19"/>
    </row>
    <row r="3817" spans="2:2" x14ac:dyDescent="0.25">
      <c r="B3817" s="19"/>
    </row>
    <row r="3818" spans="2:2" x14ac:dyDescent="0.25">
      <c r="B3818" s="19"/>
    </row>
    <row r="3819" spans="2:2" x14ac:dyDescent="0.25">
      <c r="B3819" s="19"/>
    </row>
    <row r="3820" spans="2:2" x14ac:dyDescent="0.25">
      <c r="B3820" s="19"/>
    </row>
    <row r="3821" spans="2:2" x14ac:dyDescent="0.25">
      <c r="B3821" s="19"/>
    </row>
    <row r="3822" spans="2:2" x14ac:dyDescent="0.25">
      <c r="B3822" s="19"/>
    </row>
    <row r="3823" spans="2:2" x14ac:dyDescent="0.25">
      <c r="B3823" s="19"/>
    </row>
    <row r="3824" spans="2:2" x14ac:dyDescent="0.25">
      <c r="B3824" s="19"/>
    </row>
    <row r="3825" spans="2:2" x14ac:dyDescent="0.25">
      <c r="B3825" s="19"/>
    </row>
    <row r="3826" spans="2:2" x14ac:dyDescent="0.25">
      <c r="B3826" s="19"/>
    </row>
    <row r="3827" spans="2:2" x14ac:dyDescent="0.25">
      <c r="B3827" s="19"/>
    </row>
    <row r="3828" spans="2:2" x14ac:dyDescent="0.25">
      <c r="B3828" s="19"/>
    </row>
    <row r="3829" spans="2:2" x14ac:dyDescent="0.25">
      <c r="B3829" s="19"/>
    </row>
    <row r="3830" spans="2:2" x14ac:dyDescent="0.25">
      <c r="B3830" s="19"/>
    </row>
    <row r="3831" spans="2:2" x14ac:dyDescent="0.25">
      <c r="B3831" s="19"/>
    </row>
    <row r="3832" spans="2:2" x14ac:dyDescent="0.25">
      <c r="B3832" s="19"/>
    </row>
    <row r="3833" spans="2:2" x14ac:dyDescent="0.25">
      <c r="B3833" s="19"/>
    </row>
    <row r="3834" spans="2:2" x14ac:dyDescent="0.25">
      <c r="B3834" s="19"/>
    </row>
    <row r="3835" spans="2:2" x14ac:dyDescent="0.25">
      <c r="B3835" s="19"/>
    </row>
    <row r="3836" spans="2:2" x14ac:dyDescent="0.25">
      <c r="B3836" s="19"/>
    </row>
    <row r="3837" spans="2:2" x14ac:dyDescent="0.25">
      <c r="B3837" s="19"/>
    </row>
    <row r="3838" spans="2:2" x14ac:dyDescent="0.25">
      <c r="B3838" s="19"/>
    </row>
    <row r="3839" spans="2:2" x14ac:dyDescent="0.25">
      <c r="B3839" s="19"/>
    </row>
    <row r="3840" spans="2:2" x14ac:dyDescent="0.25">
      <c r="B3840" s="19"/>
    </row>
    <row r="3841" spans="2:2" x14ac:dyDescent="0.25">
      <c r="B3841" s="19"/>
    </row>
    <row r="3842" spans="2:2" x14ac:dyDescent="0.25">
      <c r="B3842" s="19"/>
    </row>
    <row r="3843" spans="2:2" x14ac:dyDescent="0.25">
      <c r="B3843" s="19"/>
    </row>
    <row r="3844" spans="2:2" x14ac:dyDescent="0.25">
      <c r="B3844" s="19"/>
    </row>
    <row r="3845" spans="2:2" x14ac:dyDescent="0.25">
      <c r="B3845" s="19"/>
    </row>
    <row r="3846" spans="2:2" x14ac:dyDescent="0.25">
      <c r="B3846" s="19"/>
    </row>
    <row r="3847" spans="2:2" x14ac:dyDescent="0.25">
      <c r="B3847" s="19"/>
    </row>
    <row r="3848" spans="2:2" x14ac:dyDescent="0.25">
      <c r="B3848" s="19"/>
    </row>
    <row r="3849" spans="2:2" x14ac:dyDescent="0.25">
      <c r="B3849" s="19"/>
    </row>
    <row r="3850" spans="2:2" x14ac:dyDescent="0.25">
      <c r="B3850" s="19"/>
    </row>
    <row r="3851" spans="2:2" x14ac:dyDescent="0.25">
      <c r="B3851" s="19"/>
    </row>
    <row r="3852" spans="2:2" x14ac:dyDescent="0.25">
      <c r="B3852" s="19"/>
    </row>
    <row r="3853" spans="2:2" x14ac:dyDescent="0.25">
      <c r="B3853" s="19"/>
    </row>
    <row r="3854" spans="2:2" x14ac:dyDescent="0.25">
      <c r="B3854" s="19"/>
    </row>
    <row r="3855" spans="2:2" x14ac:dyDescent="0.25">
      <c r="B3855" s="19"/>
    </row>
    <row r="3856" spans="2:2" x14ac:dyDescent="0.25">
      <c r="B3856" s="19"/>
    </row>
    <row r="3857" spans="2:2" x14ac:dyDescent="0.25">
      <c r="B3857" s="19"/>
    </row>
    <row r="3858" spans="2:2" x14ac:dyDescent="0.25">
      <c r="B3858" s="19"/>
    </row>
    <row r="3859" spans="2:2" x14ac:dyDescent="0.25">
      <c r="B3859" s="19"/>
    </row>
    <row r="3860" spans="2:2" x14ac:dyDescent="0.25">
      <c r="B3860" s="19"/>
    </row>
    <row r="3861" spans="2:2" x14ac:dyDescent="0.25">
      <c r="B3861" s="19"/>
    </row>
    <row r="3862" spans="2:2" x14ac:dyDescent="0.25">
      <c r="B3862" s="19"/>
    </row>
    <row r="3863" spans="2:2" x14ac:dyDescent="0.25">
      <c r="B3863" s="19"/>
    </row>
    <row r="3864" spans="2:2" x14ac:dyDescent="0.25">
      <c r="B3864" s="19"/>
    </row>
    <row r="3865" spans="2:2" x14ac:dyDescent="0.25">
      <c r="B3865" s="19"/>
    </row>
    <row r="3866" spans="2:2" x14ac:dyDescent="0.25">
      <c r="B3866" s="19"/>
    </row>
    <row r="3867" spans="2:2" x14ac:dyDescent="0.25">
      <c r="B3867" s="19"/>
    </row>
    <row r="3868" spans="2:2" x14ac:dyDescent="0.25">
      <c r="B3868" s="19"/>
    </row>
    <row r="3869" spans="2:2" x14ac:dyDescent="0.25">
      <c r="B3869" s="19"/>
    </row>
    <row r="3870" spans="2:2" x14ac:dyDescent="0.25">
      <c r="B3870" s="19"/>
    </row>
    <row r="3871" spans="2:2" x14ac:dyDescent="0.25">
      <c r="B3871" s="19"/>
    </row>
    <row r="3872" spans="2:2" x14ac:dyDescent="0.25">
      <c r="B3872" s="19"/>
    </row>
    <row r="3873" spans="2:2" x14ac:dyDescent="0.25">
      <c r="B3873" s="19"/>
    </row>
    <row r="3874" spans="2:2" x14ac:dyDescent="0.25">
      <c r="B3874" s="19"/>
    </row>
    <row r="3875" spans="2:2" x14ac:dyDescent="0.25">
      <c r="B3875" s="19"/>
    </row>
    <row r="3876" spans="2:2" x14ac:dyDescent="0.25">
      <c r="B3876" s="19"/>
    </row>
    <row r="3877" spans="2:2" x14ac:dyDescent="0.25">
      <c r="B3877" s="19"/>
    </row>
    <row r="3878" spans="2:2" x14ac:dyDescent="0.25">
      <c r="B3878" s="19"/>
    </row>
    <row r="3879" spans="2:2" x14ac:dyDescent="0.25">
      <c r="B3879" s="19"/>
    </row>
    <row r="3880" spans="2:2" x14ac:dyDescent="0.25">
      <c r="B3880" s="19"/>
    </row>
    <row r="3881" spans="2:2" x14ac:dyDescent="0.25">
      <c r="B3881" s="19"/>
    </row>
    <row r="3882" spans="2:2" x14ac:dyDescent="0.25">
      <c r="B3882" s="19"/>
    </row>
    <row r="3883" spans="2:2" x14ac:dyDescent="0.25">
      <c r="B3883" s="19"/>
    </row>
    <row r="3884" spans="2:2" x14ac:dyDescent="0.25">
      <c r="B3884" s="19"/>
    </row>
    <row r="3885" spans="2:2" x14ac:dyDescent="0.25">
      <c r="B3885" s="19"/>
    </row>
    <row r="3886" spans="2:2" x14ac:dyDescent="0.25">
      <c r="B3886" s="19"/>
    </row>
    <row r="3887" spans="2:2" x14ac:dyDescent="0.25">
      <c r="B3887" s="19"/>
    </row>
    <row r="3888" spans="2:2" x14ac:dyDescent="0.25">
      <c r="B3888" s="19"/>
    </row>
    <row r="3889" spans="2:2" x14ac:dyDescent="0.25">
      <c r="B3889" s="19"/>
    </row>
    <row r="3890" spans="2:2" x14ac:dyDescent="0.25">
      <c r="B3890" s="19"/>
    </row>
    <row r="3891" spans="2:2" x14ac:dyDescent="0.25">
      <c r="B3891" s="19"/>
    </row>
    <row r="3892" spans="2:2" x14ac:dyDescent="0.25">
      <c r="B3892" s="19"/>
    </row>
    <row r="3893" spans="2:2" x14ac:dyDescent="0.25">
      <c r="B3893" s="19"/>
    </row>
    <row r="3894" spans="2:2" x14ac:dyDescent="0.25">
      <c r="B3894" s="19"/>
    </row>
    <row r="3895" spans="2:2" x14ac:dyDescent="0.25">
      <c r="B3895" s="19"/>
    </row>
    <row r="3896" spans="2:2" x14ac:dyDescent="0.25">
      <c r="B3896" s="19"/>
    </row>
    <row r="3897" spans="2:2" x14ac:dyDescent="0.25">
      <c r="B3897" s="19"/>
    </row>
    <row r="3898" spans="2:2" x14ac:dyDescent="0.25">
      <c r="B3898" s="19"/>
    </row>
    <row r="3899" spans="2:2" x14ac:dyDescent="0.25">
      <c r="B3899" s="19"/>
    </row>
    <row r="3900" spans="2:2" x14ac:dyDescent="0.25">
      <c r="B3900" s="19"/>
    </row>
    <row r="3901" spans="2:2" x14ac:dyDescent="0.25">
      <c r="B3901" s="19"/>
    </row>
    <row r="3902" spans="2:2" x14ac:dyDescent="0.25">
      <c r="B3902" s="19"/>
    </row>
    <row r="3903" spans="2:2" x14ac:dyDescent="0.25">
      <c r="B3903" s="19"/>
    </row>
    <row r="3904" spans="2:2" x14ac:dyDescent="0.25">
      <c r="B3904" s="19"/>
    </row>
    <row r="3905" spans="2:2" x14ac:dyDescent="0.25">
      <c r="B3905" s="19"/>
    </row>
    <row r="3906" spans="2:2" x14ac:dyDescent="0.25">
      <c r="B3906" s="19"/>
    </row>
    <row r="3907" spans="2:2" x14ac:dyDescent="0.25">
      <c r="B3907" s="19"/>
    </row>
    <row r="3908" spans="2:2" x14ac:dyDescent="0.25">
      <c r="B3908" s="19"/>
    </row>
    <row r="3909" spans="2:2" x14ac:dyDescent="0.25">
      <c r="B3909" s="19"/>
    </row>
    <row r="3910" spans="2:2" x14ac:dyDescent="0.25">
      <c r="B3910" s="19"/>
    </row>
    <row r="3911" spans="2:2" x14ac:dyDescent="0.25">
      <c r="B3911" s="19"/>
    </row>
    <row r="3912" spans="2:2" x14ac:dyDescent="0.25">
      <c r="B3912" s="19"/>
    </row>
    <row r="3913" spans="2:2" x14ac:dyDescent="0.25">
      <c r="B3913" s="19"/>
    </row>
    <row r="3914" spans="2:2" x14ac:dyDescent="0.25">
      <c r="B3914" s="19"/>
    </row>
    <row r="3915" spans="2:2" x14ac:dyDescent="0.25">
      <c r="B3915" s="19"/>
    </row>
    <row r="3916" spans="2:2" x14ac:dyDescent="0.25">
      <c r="B3916" s="19"/>
    </row>
    <row r="3917" spans="2:2" x14ac:dyDescent="0.25">
      <c r="B3917" s="19"/>
    </row>
    <row r="3918" spans="2:2" x14ac:dyDescent="0.25">
      <c r="B3918" s="19"/>
    </row>
    <row r="3919" spans="2:2" x14ac:dyDescent="0.25">
      <c r="B3919" s="19"/>
    </row>
    <row r="3920" spans="2:2" x14ac:dyDescent="0.25">
      <c r="B3920" s="19"/>
    </row>
    <row r="3921" spans="2:2" x14ac:dyDescent="0.25">
      <c r="B3921" s="19"/>
    </row>
    <row r="3922" spans="2:2" x14ac:dyDescent="0.25">
      <c r="B3922" s="19"/>
    </row>
    <row r="3923" spans="2:2" x14ac:dyDescent="0.25">
      <c r="B3923" s="19"/>
    </row>
    <row r="3924" spans="2:2" x14ac:dyDescent="0.25">
      <c r="B3924" s="19"/>
    </row>
    <row r="3925" spans="2:2" x14ac:dyDescent="0.25">
      <c r="B3925" s="19"/>
    </row>
    <row r="3926" spans="2:2" x14ac:dyDescent="0.25">
      <c r="B3926" s="19"/>
    </row>
    <row r="3927" spans="2:2" x14ac:dyDescent="0.25">
      <c r="B3927" s="19"/>
    </row>
    <row r="3928" spans="2:2" x14ac:dyDescent="0.25">
      <c r="B3928" s="19"/>
    </row>
    <row r="3929" spans="2:2" x14ac:dyDescent="0.25">
      <c r="B3929" s="19"/>
    </row>
    <row r="3930" spans="2:2" x14ac:dyDescent="0.25">
      <c r="B3930" s="19"/>
    </row>
    <row r="3931" spans="2:2" x14ac:dyDescent="0.25">
      <c r="B3931" s="19"/>
    </row>
    <row r="3932" spans="2:2" x14ac:dyDescent="0.25">
      <c r="B3932" s="19"/>
    </row>
    <row r="3933" spans="2:2" x14ac:dyDescent="0.25">
      <c r="B3933" s="19"/>
    </row>
    <row r="3934" spans="2:2" x14ac:dyDescent="0.25">
      <c r="B3934" s="19"/>
    </row>
    <row r="3935" spans="2:2" x14ac:dyDescent="0.25">
      <c r="B3935" s="19"/>
    </row>
    <row r="3936" spans="2:2" x14ac:dyDescent="0.25">
      <c r="B3936" s="19"/>
    </row>
    <row r="3937" spans="2:2" x14ac:dyDescent="0.25">
      <c r="B3937" s="19"/>
    </row>
    <row r="3938" spans="2:2" x14ac:dyDescent="0.25">
      <c r="B3938" s="19"/>
    </row>
    <row r="3939" spans="2:2" x14ac:dyDescent="0.25">
      <c r="B3939" s="19"/>
    </row>
    <row r="3940" spans="2:2" x14ac:dyDescent="0.25">
      <c r="B3940" s="19"/>
    </row>
    <row r="3941" spans="2:2" x14ac:dyDescent="0.25">
      <c r="B3941" s="19"/>
    </row>
    <row r="3942" spans="2:2" x14ac:dyDescent="0.25">
      <c r="B3942" s="19"/>
    </row>
    <row r="3943" spans="2:2" x14ac:dyDescent="0.25">
      <c r="B3943" s="19"/>
    </row>
    <row r="3944" spans="2:2" x14ac:dyDescent="0.25">
      <c r="B3944" s="19"/>
    </row>
    <row r="3945" spans="2:2" x14ac:dyDescent="0.25">
      <c r="B3945" s="19"/>
    </row>
    <row r="3946" spans="2:2" x14ac:dyDescent="0.25">
      <c r="B3946" s="19"/>
    </row>
    <row r="3947" spans="2:2" x14ac:dyDescent="0.25">
      <c r="B3947" s="19"/>
    </row>
    <row r="3948" spans="2:2" x14ac:dyDescent="0.25">
      <c r="B3948" s="19"/>
    </row>
    <row r="3949" spans="2:2" x14ac:dyDescent="0.25">
      <c r="B3949" s="19"/>
    </row>
    <row r="3950" spans="2:2" x14ac:dyDescent="0.25">
      <c r="B3950" s="19"/>
    </row>
    <row r="3951" spans="2:2" x14ac:dyDescent="0.25">
      <c r="B3951" s="19"/>
    </row>
    <row r="3952" spans="2:2" x14ac:dyDescent="0.25">
      <c r="B3952" s="19"/>
    </row>
    <row r="3953" spans="2:2" x14ac:dyDescent="0.25">
      <c r="B3953" s="19"/>
    </row>
    <row r="3954" spans="2:2" x14ac:dyDescent="0.25">
      <c r="B3954" s="19"/>
    </row>
    <row r="3955" spans="2:2" x14ac:dyDescent="0.25">
      <c r="B3955" s="19"/>
    </row>
    <row r="3956" spans="2:2" x14ac:dyDescent="0.25">
      <c r="B3956" s="19"/>
    </row>
    <row r="3957" spans="2:2" x14ac:dyDescent="0.25">
      <c r="B3957" s="19"/>
    </row>
    <row r="3958" spans="2:2" x14ac:dyDescent="0.25">
      <c r="B3958" s="19"/>
    </row>
    <row r="3959" spans="2:2" x14ac:dyDescent="0.25">
      <c r="B3959" s="19"/>
    </row>
    <row r="3960" spans="2:2" x14ac:dyDescent="0.25">
      <c r="B3960" s="19"/>
    </row>
    <row r="3961" spans="2:2" x14ac:dyDescent="0.25">
      <c r="B3961" s="19"/>
    </row>
    <row r="3962" spans="2:2" x14ac:dyDescent="0.25">
      <c r="B3962" s="19"/>
    </row>
    <row r="3963" spans="2:2" x14ac:dyDescent="0.25">
      <c r="B3963" s="19"/>
    </row>
    <row r="3964" spans="2:2" x14ac:dyDescent="0.25">
      <c r="B3964" s="19"/>
    </row>
    <row r="3965" spans="2:2" x14ac:dyDescent="0.25">
      <c r="B3965" s="19"/>
    </row>
    <row r="3966" spans="2:2" x14ac:dyDescent="0.25">
      <c r="B3966" s="19"/>
    </row>
    <row r="3967" spans="2:2" x14ac:dyDescent="0.25">
      <c r="B3967" s="19"/>
    </row>
    <row r="3968" spans="2:2" x14ac:dyDescent="0.25">
      <c r="B3968" s="19"/>
    </row>
    <row r="3969" spans="2:2" x14ac:dyDescent="0.25">
      <c r="B3969" s="19"/>
    </row>
    <row r="3970" spans="2:2" x14ac:dyDescent="0.25">
      <c r="B3970" s="19"/>
    </row>
    <row r="3971" spans="2:2" x14ac:dyDescent="0.25">
      <c r="B3971" s="19"/>
    </row>
    <row r="3972" spans="2:2" x14ac:dyDescent="0.25">
      <c r="B3972" s="19"/>
    </row>
    <row r="3973" spans="2:2" x14ac:dyDescent="0.25">
      <c r="B3973" s="19"/>
    </row>
    <row r="3974" spans="2:2" x14ac:dyDescent="0.25">
      <c r="B3974" s="19"/>
    </row>
    <row r="3975" spans="2:2" x14ac:dyDescent="0.25">
      <c r="B3975" s="19"/>
    </row>
    <row r="3976" spans="2:2" x14ac:dyDescent="0.25">
      <c r="B3976" s="19"/>
    </row>
    <row r="3977" spans="2:2" x14ac:dyDescent="0.25">
      <c r="B3977" s="19"/>
    </row>
    <row r="3978" spans="2:2" x14ac:dyDescent="0.25">
      <c r="B3978" s="19"/>
    </row>
    <row r="3979" spans="2:2" x14ac:dyDescent="0.25">
      <c r="B3979" s="19"/>
    </row>
    <row r="3980" spans="2:2" x14ac:dyDescent="0.25">
      <c r="B3980" s="19"/>
    </row>
    <row r="3981" spans="2:2" x14ac:dyDescent="0.25">
      <c r="B3981" s="19"/>
    </row>
    <row r="3982" spans="2:2" x14ac:dyDescent="0.25">
      <c r="B3982" s="19"/>
    </row>
    <row r="3983" spans="2:2" x14ac:dyDescent="0.25">
      <c r="B3983" s="19"/>
    </row>
    <row r="3984" spans="2:2" x14ac:dyDescent="0.25">
      <c r="B3984" s="19"/>
    </row>
    <row r="3985" spans="2:2" x14ac:dyDescent="0.25">
      <c r="B3985" s="19"/>
    </row>
    <row r="3986" spans="2:2" x14ac:dyDescent="0.25">
      <c r="B3986" s="19"/>
    </row>
    <row r="3987" spans="2:2" x14ac:dyDescent="0.25">
      <c r="B3987" s="19"/>
    </row>
    <row r="3988" spans="2:2" x14ac:dyDescent="0.25">
      <c r="B3988" s="19"/>
    </row>
    <row r="3989" spans="2:2" x14ac:dyDescent="0.25">
      <c r="B3989" s="19"/>
    </row>
    <row r="3990" spans="2:2" x14ac:dyDescent="0.25">
      <c r="B3990" s="19"/>
    </row>
    <row r="3991" spans="2:2" x14ac:dyDescent="0.25">
      <c r="B3991" s="19"/>
    </row>
    <row r="3992" spans="2:2" x14ac:dyDescent="0.25">
      <c r="B3992" s="19"/>
    </row>
    <row r="3993" spans="2:2" x14ac:dyDescent="0.25">
      <c r="B3993" s="19"/>
    </row>
    <row r="3994" spans="2:2" x14ac:dyDescent="0.25">
      <c r="B3994" s="19"/>
    </row>
    <row r="3995" spans="2:2" x14ac:dyDescent="0.25">
      <c r="B3995" s="19"/>
    </row>
    <row r="3996" spans="2:2" x14ac:dyDescent="0.25">
      <c r="B3996" s="19"/>
    </row>
    <row r="3997" spans="2:2" x14ac:dyDescent="0.25">
      <c r="B3997" s="19"/>
    </row>
    <row r="3998" spans="2:2" x14ac:dyDescent="0.25">
      <c r="B3998" s="19"/>
    </row>
    <row r="3999" spans="2:2" x14ac:dyDescent="0.25">
      <c r="B3999" s="19"/>
    </row>
    <row r="4000" spans="2:2" x14ac:dyDescent="0.25">
      <c r="B4000" s="19"/>
    </row>
    <row r="4001" spans="2:2" x14ac:dyDescent="0.25">
      <c r="B4001" s="19"/>
    </row>
    <row r="4002" spans="2:2" x14ac:dyDescent="0.25">
      <c r="B4002" s="19"/>
    </row>
    <row r="4003" spans="2:2" x14ac:dyDescent="0.25">
      <c r="B4003" s="19"/>
    </row>
    <row r="4004" spans="2:2" x14ac:dyDescent="0.25">
      <c r="B4004" s="19"/>
    </row>
    <row r="4005" spans="2:2" x14ac:dyDescent="0.25">
      <c r="B4005" s="19"/>
    </row>
    <row r="4006" spans="2:2" x14ac:dyDescent="0.25">
      <c r="B4006" s="19"/>
    </row>
    <row r="4007" spans="2:2" x14ac:dyDescent="0.25">
      <c r="B4007" s="19"/>
    </row>
    <row r="4008" spans="2:2" x14ac:dyDescent="0.25">
      <c r="B4008" s="19"/>
    </row>
    <row r="4009" spans="2:2" x14ac:dyDescent="0.25">
      <c r="B4009" s="19"/>
    </row>
    <row r="4010" spans="2:2" x14ac:dyDescent="0.25">
      <c r="B4010" s="19"/>
    </row>
    <row r="4011" spans="2:2" x14ac:dyDescent="0.25">
      <c r="B4011" s="19"/>
    </row>
    <row r="4012" spans="2:2" x14ac:dyDescent="0.25">
      <c r="B4012" s="19"/>
    </row>
    <row r="4013" spans="2:2" x14ac:dyDescent="0.25">
      <c r="B4013" s="19"/>
    </row>
    <row r="4014" spans="2:2" x14ac:dyDescent="0.25">
      <c r="B4014" s="19"/>
    </row>
    <row r="4015" spans="2:2" x14ac:dyDescent="0.25">
      <c r="B4015" s="19"/>
    </row>
    <row r="4016" spans="2:2" x14ac:dyDescent="0.25">
      <c r="B4016" s="19"/>
    </row>
    <row r="4017" spans="2:2" x14ac:dyDescent="0.25">
      <c r="B4017" s="19"/>
    </row>
    <row r="4018" spans="2:2" x14ac:dyDescent="0.25">
      <c r="B4018" s="19"/>
    </row>
    <row r="4019" spans="2:2" x14ac:dyDescent="0.25">
      <c r="B4019" s="19"/>
    </row>
    <row r="4020" spans="2:2" x14ac:dyDescent="0.25">
      <c r="B4020" s="19"/>
    </row>
    <row r="4021" spans="2:2" x14ac:dyDescent="0.25">
      <c r="B4021" s="19"/>
    </row>
    <row r="4022" spans="2:2" x14ac:dyDescent="0.25">
      <c r="B4022" s="19"/>
    </row>
    <row r="4023" spans="2:2" x14ac:dyDescent="0.25">
      <c r="B4023" s="19"/>
    </row>
    <row r="4024" spans="2:2" x14ac:dyDescent="0.25">
      <c r="B4024" s="19"/>
    </row>
    <row r="4025" spans="2:2" x14ac:dyDescent="0.25">
      <c r="B4025" s="19"/>
    </row>
    <row r="4026" spans="2:2" x14ac:dyDescent="0.25">
      <c r="B4026" s="19"/>
    </row>
    <row r="4027" spans="2:2" x14ac:dyDescent="0.25">
      <c r="B4027" s="19"/>
    </row>
    <row r="4028" spans="2:2" x14ac:dyDescent="0.25">
      <c r="B4028" s="19"/>
    </row>
    <row r="4029" spans="2:2" x14ac:dyDescent="0.25">
      <c r="B4029" s="19"/>
    </row>
    <row r="4030" spans="2:2" x14ac:dyDescent="0.25">
      <c r="B4030" s="19"/>
    </row>
    <row r="4031" spans="2:2" x14ac:dyDescent="0.25">
      <c r="B4031" s="19"/>
    </row>
    <row r="4032" spans="2:2" x14ac:dyDescent="0.25">
      <c r="B4032" s="19"/>
    </row>
    <row r="4033" spans="2:2" x14ac:dyDescent="0.25">
      <c r="B4033" s="19"/>
    </row>
    <row r="4034" spans="2:2" x14ac:dyDescent="0.25">
      <c r="B4034" s="19"/>
    </row>
    <row r="4035" spans="2:2" x14ac:dyDescent="0.25">
      <c r="B4035" s="19"/>
    </row>
    <row r="4036" spans="2:2" x14ac:dyDescent="0.25">
      <c r="B4036" s="19"/>
    </row>
    <row r="4037" spans="2:2" x14ac:dyDescent="0.25">
      <c r="B4037" s="19"/>
    </row>
    <row r="4038" spans="2:2" x14ac:dyDescent="0.25">
      <c r="B4038" s="19"/>
    </row>
    <row r="4039" spans="2:2" x14ac:dyDescent="0.25">
      <c r="B4039" s="19"/>
    </row>
    <row r="4040" spans="2:2" x14ac:dyDescent="0.25">
      <c r="B4040" s="19"/>
    </row>
    <row r="4041" spans="2:2" x14ac:dyDescent="0.25">
      <c r="B4041" s="19"/>
    </row>
    <row r="4042" spans="2:2" x14ac:dyDescent="0.25">
      <c r="B4042" s="19"/>
    </row>
    <row r="4043" spans="2:2" x14ac:dyDescent="0.25">
      <c r="B4043" s="19"/>
    </row>
    <row r="4044" spans="2:2" x14ac:dyDescent="0.25">
      <c r="B4044" s="19"/>
    </row>
    <row r="4045" spans="2:2" x14ac:dyDescent="0.25">
      <c r="B4045" s="19"/>
    </row>
    <row r="4046" spans="2:2" x14ac:dyDescent="0.25">
      <c r="B4046" s="19"/>
    </row>
    <row r="4047" spans="2:2" x14ac:dyDescent="0.25">
      <c r="B4047" s="19"/>
    </row>
    <row r="4048" spans="2:2" x14ac:dyDescent="0.25">
      <c r="B4048" s="19"/>
    </row>
    <row r="4049" spans="2:2" x14ac:dyDescent="0.25">
      <c r="B4049" s="19"/>
    </row>
    <row r="4050" spans="2:2" x14ac:dyDescent="0.25">
      <c r="B4050" s="19"/>
    </row>
    <row r="4051" spans="2:2" x14ac:dyDescent="0.25">
      <c r="B4051" s="19"/>
    </row>
    <row r="4052" spans="2:2" x14ac:dyDescent="0.25">
      <c r="B4052" s="19"/>
    </row>
    <row r="4053" spans="2:2" x14ac:dyDescent="0.25">
      <c r="B4053" s="19"/>
    </row>
    <row r="4054" spans="2:2" x14ac:dyDescent="0.25">
      <c r="B4054" s="19"/>
    </row>
    <row r="4055" spans="2:2" x14ac:dyDescent="0.25">
      <c r="B4055" s="19"/>
    </row>
    <row r="4056" spans="2:2" x14ac:dyDescent="0.25">
      <c r="B4056" s="19"/>
    </row>
    <row r="4057" spans="2:2" x14ac:dyDescent="0.25">
      <c r="B4057" s="19"/>
    </row>
    <row r="4058" spans="2:2" x14ac:dyDescent="0.25">
      <c r="B4058" s="19"/>
    </row>
    <row r="4059" spans="2:2" x14ac:dyDescent="0.25">
      <c r="B4059" s="19"/>
    </row>
    <row r="4060" spans="2:2" x14ac:dyDescent="0.25">
      <c r="B4060" s="19"/>
    </row>
    <row r="4061" spans="2:2" x14ac:dyDescent="0.25">
      <c r="B4061" s="19"/>
    </row>
    <row r="4062" spans="2:2" x14ac:dyDescent="0.25">
      <c r="B4062" s="19"/>
    </row>
    <row r="4063" spans="2:2" x14ac:dyDescent="0.25">
      <c r="B4063" s="19"/>
    </row>
    <row r="4064" spans="2:2" x14ac:dyDescent="0.25">
      <c r="B4064" s="19"/>
    </row>
    <row r="4065" spans="2:2" x14ac:dyDescent="0.25">
      <c r="B4065" s="19"/>
    </row>
    <row r="4066" spans="2:2" x14ac:dyDescent="0.25">
      <c r="B4066" s="19"/>
    </row>
    <row r="4067" spans="2:2" x14ac:dyDescent="0.25">
      <c r="B4067" s="19"/>
    </row>
    <row r="4068" spans="2:2" x14ac:dyDescent="0.25">
      <c r="B4068" s="19"/>
    </row>
    <row r="4069" spans="2:2" x14ac:dyDescent="0.25">
      <c r="B4069" s="19"/>
    </row>
    <row r="4070" spans="2:2" x14ac:dyDescent="0.25">
      <c r="B4070" s="19"/>
    </row>
    <row r="4071" spans="2:2" x14ac:dyDescent="0.25">
      <c r="B4071" s="19"/>
    </row>
    <row r="4072" spans="2:2" x14ac:dyDescent="0.25">
      <c r="B4072" s="19"/>
    </row>
    <row r="4073" spans="2:2" x14ac:dyDescent="0.25">
      <c r="B4073" s="19"/>
    </row>
    <row r="4074" spans="2:2" x14ac:dyDescent="0.25">
      <c r="B4074" s="19"/>
    </row>
    <row r="4075" spans="2:2" x14ac:dyDescent="0.25">
      <c r="B4075" s="19"/>
    </row>
    <row r="4076" spans="2:2" x14ac:dyDescent="0.25">
      <c r="B4076" s="19"/>
    </row>
    <row r="4077" spans="2:2" x14ac:dyDescent="0.25">
      <c r="B4077" s="19"/>
    </row>
    <row r="4078" spans="2:2" x14ac:dyDescent="0.25">
      <c r="B4078" s="19"/>
    </row>
    <row r="4079" spans="2:2" x14ac:dyDescent="0.25">
      <c r="B4079" s="19"/>
    </row>
    <row r="4080" spans="2:2" x14ac:dyDescent="0.25">
      <c r="B4080" s="19"/>
    </row>
    <row r="4081" spans="2:2" x14ac:dyDescent="0.25">
      <c r="B4081" s="19"/>
    </row>
    <row r="4082" spans="2:2" x14ac:dyDescent="0.25">
      <c r="B4082" s="19"/>
    </row>
    <row r="4083" spans="2:2" x14ac:dyDescent="0.25">
      <c r="B4083" s="19"/>
    </row>
    <row r="4084" spans="2:2" x14ac:dyDescent="0.25">
      <c r="B4084" s="19"/>
    </row>
    <row r="4085" spans="2:2" x14ac:dyDescent="0.25">
      <c r="B4085" s="19"/>
    </row>
    <row r="4086" spans="2:2" x14ac:dyDescent="0.25">
      <c r="B4086" s="19"/>
    </row>
    <row r="4087" spans="2:2" x14ac:dyDescent="0.25">
      <c r="B4087" s="19"/>
    </row>
    <row r="4088" spans="2:2" x14ac:dyDescent="0.25">
      <c r="B4088" s="19"/>
    </row>
    <row r="4089" spans="2:2" x14ac:dyDescent="0.25">
      <c r="B4089" s="19"/>
    </row>
    <row r="4090" spans="2:2" x14ac:dyDescent="0.25">
      <c r="B4090" s="19"/>
    </row>
    <row r="4091" spans="2:2" x14ac:dyDescent="0.25">
      <c r="B4091" s="19"/>
    </row>
    <row r="4092" spans="2:2" x14ac:dyDescent="0.25">
      <c r="B4092" s="19"/>
    </row>
    <row r="4093" spans="2:2" x14ac:dyDescent="0.25">
      <c r="B4093" s="19"/>
    </row>
    <row r="4094" spans="2:2" x14ac:dyDescent="0.25">
      <c r="B4094" s="19"/>
    </row>
    <row r="4095" spans="2:2" x14ac:dyDescent="0.25">
      <c r="B4095" s="19"/>
    </row>
    <row r="4096" spans="2:2" x14ac:dyDescent="0.25">
      <c r="B4096" s="19"/>
    </row>
    <row r="4097" spans="2:2" x14ac:dyDescent="0.25">
      <c r="B4097" s="19"/>
    </row>
    <row r="4098" spans="2:2" x14ac:dyDescent="0.25">
      <c r="B4098" s="19"/>
    </row>
    <row r="4099" spans="2:2" x14ac:dyDescent="0.25">
      <c r="B4099" s="19"/>
    </row>
    <row r="4100" spans="2:2" x14ac:dyDescent="0.25">
      <c r="B4100" s="19"/>
    </row>
    <row r="4101" spans="2:2" x14ac:dyDescent="0.25">
      <c r="B4101" s="19"/>
    </row>
    <row r="4102" spans="2:2" x14ac:dyDescent="0.25">
      <c r="B4102" s="19"/>
    </row>
    <row r="4103" spans="2:2" x14ac:dyDescent="0.25">
      <c r="B4103" s="19"/>
    </row>
    <row r="4104" spans="2:2" x14ac:dyDescent="0.25">
      <c r="B4104" s="19"/>
    </row>
    <row r="4105" spans="2:2" x14ac:dyDescent="0.25">
      <c r="B4105" s="19"/>
    </row>
    <row r="4106" spans="2:2" x14ac:dyDescent="0.25">
      <c r="B4106" s="19"/>
    </row>
    <row r="4107" spans="2:2" x14ac:dyDescent="0.25">
      <c r="B4107" s="19"/>
    </row>
    <row r="4108" spans="2:2" x14ac:dyDescent="0.25">
      <c r="B4108" s="19"/>
    </row>
    <row r="4109" spans="2:2" x14ac:dyDescent="0.25">
      <c r="B4109" s="19"/>
    </row>
    <row r="4110" spans="2:2" x14ac:dyDescent="0.25">
      <c r="B4110" s="19"/>
    </row>
    <row r="4111" spans="2:2" x14ac:dyDescent="0.25">
      <c r="B4111" s="19"/>
    </row>
    <row r="4112" spans="2:2" x14ac:dyDescent="0.25">
      <c r="B4112" s="19"/>
    </row>
    <row r="4113" spans="2:2" x14ac:dyDescent="0.25">
      <c r="B4113" s="19"/>
    </row>
    <row r="4114" spans="2:2" x14ac:dyDescent="0.25">
      <c r="B4114" s="19"/>
    </row>
    <row r="4115" spans="2:2" x14ac:dyDescent="0.25">
      <c r="B4115" s="19"/>
    </row>
    <row r="4116" spans="2:2" x14ac:dyDescent="0.25">
      <c r="B4116" s="19"/>
    </row>
    <row r="4117" spans="2:2" x14ac:dyDescent="0.25">
      <c r="B4117" s="19"/>
    </row>
    <row r="4118" spans="2:2" x14ac:dyDescent="0.25">
      <c r="B4118" s="19"/>
    </row>
    <row r="4119" spans="2:2" x14ac:dyDescent="0.25">
      <c r="B4119" s="19"/>
    </row>
    <row r="4120" spans="2:2" x14ac:dyDescent="0.25">
      <c r="B4120" s="19"/>
    </row>
    <row r="4121" spans="2:2" x14ac:dyDescent="0.25">
      <c r="B4121" s="19"/>
    </row>
    <row r="4122" spans="2:2" x14ac:dyDescent="0.25">
      <c r="B4122" s="19"/>
    </row>
    <row r="4123" spans="2:2" x14ac:dyDescent="0.25">
      <c r="B4123" s="19"/>
    </row>
    <row r="4124" spans="2:2" x14ac:dyDescent="0.25">
      <c r="B4124" s="19"/>
    </row>
    <row r="4125" spans="2:2" x14ac:dyDescent="0.25">
      <c r="B4125" s="19"/>
    </row>
    <row r="4126" spans="2:2" x14ac:dyDescent="0.25">
      <c r="B4126" s="19"/>
    </row>
    <row r="4127" spans="2:2" x14ac:dyDescent="0.25">
      <c r="B4127" s="19"/>
    </row>
    <row r="4128" spans="2:2" x14ac:dyDescent="0.25">
      <c r="B4128" s="19"/>
    </row>
    <row r="4129" spans="2:2" x14ac:dyDescent="0.25">
      <c r="B4129" s="19"/>
    </row>
    <row r="4130" spans="2:2" x14ac:dyDescent="0.25">
      <c r="B4130" s="19"/>
    </row>
    <row r="4131" spans="2:2" x14ac:dyDescent="0.25">
      <c r="B4131" s="19"/>
    </row>
    <row r="4132" spans="2:2" x14ac:dyDescent="0.25">
      <c r="B4132" s="19"/>
    </row>
    <row r="4133" spans="2:2" x14ac:dyDescent="0.25">
      <c r="B4133" s="19"/>
    </row>
    <row r="4134" spans="2:2" x14ac:dyDescent="0.25">
      <c r="B4134" s="19"/>
    </row>
    <row r="4135" spans="2:2" x14ac:dyDescent="0.25">
      <c r="B4135" s="19"/>
    </row>
    <row r="4136" spans="2:2" x14ac:dyDescent="0.25">
      <c r="B4136" s="19"/>
    </row>
    <row r="4137" spans="2:2" x14ac:dyDescent="0.25">
      <c r="B4137" s="19"/>
    </row>
    <row r="4138" spans="2:2" x14ac:dyDescent="0.25">
      <c r="B4138" s="19"/>
    </row>
    <row r="4139" spans="2:2" x14ac:dyDescent="0.25">
      <c r="B4139" s="19"/>
    </row>
    <row r="4140" spans="2:2" x14ac:dyDescent="0.25">
      <c r="B4140" s="19"/>
    </row>
    <row r="4141" spans="2:2" x14ac:dyDescent="0.25">
      <c r="B4141" s="19"/>
    </row>
    <row r="4142" spans="2:2" x14ac:dyDescent="0.25">
      <c r="B4142" s="19"/>
    </row>
    <row r="4143" spans="2:2" x14ac:dyDescent="0.25">
      <c r="B4143" s="19"/>
    </row>
    <row r="4144" spans="2:2" x14ac:dyDescent="0.25">
      <c r="B4144" s="19"/>
    </row>
    <row r="4145" spans="2:2" x14ac:dyDescent="0.25">
      <c r="B4145" s="19"/>
    </row>
    <row r="4146" spans="2:2" x14ac:dyDescent="0.25">
      <c r="B4146" s="19"/>
    </row>
    <row r="4147" spans="2:2" x14ac:dyDescent="0.25">
      <c r="B4147" s="19"/>
    </row>
    <row r="4148" spans="2:2" x14ac:dyDescent="0.25">
      <c r="B4148" s="19"/>
    </row>
    <row r="4149" spans="2:2" x14ac:dyDescent="0.25">
      <c r="B4149" s="19"/>
    </row>
    <row r="4150" spans="2:2" x14ac:dyDescent="0.25">
      <c r="B4150" s="19"/>
    </row>
    <row r="4151" spans="2:2" x14ac:dyDescent="0.25">
      <c r="B4151" s="19"/>
    </row>
    <row r="4152" spans="2:2" x14ac:dyDescent="0.25">
      <c r="B4152" s="19"/>
    </row>
    <row r="4153" spans="2:2" x14ac:dyDescent="0.25">
      <c r="B4153" s="19"/>
    </row>
    <row r="4154" spans="2:2" x14ac:dyDescent="0.25">
      <c r="B4154" s="19"/>
    </row>
    <row r="4155" spans="2:2" x14ac:dyDescent="0.25">
      <c r="B4155" s="19"/>
    </row>
    <row r="4156" spans="2:2" x14ac:dyDescent="0.25">
      <c r="B4156" s="19"/>
    </row>
    <row r="4157" spans="2:2" x14ac:dyDescent="0.25">
      <c r="B4157" s="19"/>
    </row>
    <row r="4158" spans="2:2" x14ac:dyDescent="0.25">
      <c r="B4158" s="19"/>
    </row>
    <row r="4159" spans="2:2" x14ac:dyDescent="0.25">
      <c r="B4159" s="19"/>
    </row>
    <row r="4160" spans="2:2" x14ac:dyDescent="0.25">
      <c r="B4160" s="19"/>
    </row>
    <row r="4161" spans="2:2" x14ac:dyDescent="0.25">
      <c r="B4161" s="19"/>
    </row>
    <row r="4162" spans="2:2" x14ac:dyDescent="0.25">
      <c r="B4162" s="19"/>
    </row>
    <row r="4163" spans="2:2" x14ac:dyDescent="0.25">
      <c r="B4163" s="19"/>
    </row>
    <row r="4164" spans="2:2" x14ac:dyDescent="0.25">
      <c r="B4164" s="19"/>
    </row>
    <row r="4165" spans="2:2" x14ac:dyDescent="0.25">
      <c r="B4165" s="19"/>
    </row>
    <row r="4166" spans="2:2" x14ac:dyDescent="0.25">
      <c r="B4166" s="19"/>
    </row>
    <row r="4167" spans="2:2" x14ac:dyDescent="0.25">
      <c r="B4167" s="19"/>
    </row>
    <row r="4168" spans="2:2" x14ac:dyDescent="0.25">
      <c r="B4168" s="19"/>
    </row>
    <row r="4169" spans="2:2" x14ac:dyDescent="0.25">
      <c r="B4169" s="19"/>
    </row>
    <row r="4170" spans="2:2" x14ac:dyDescent="0.25">
      <c r="B4170" s="19"/>
    </row>
    <row r="4171" spans="2:2" x14ac:dyDescent="0.25">
      <c r="B4171" s="19"/>
    </row>
    <row r="4172" spans="2:2" x14ac:dyDescent="0.25">
      <c r="B4172" s="19"/>
    </row>
    <row r="4173" spans="2:2" x14ac:dyDescent="0.25">
      <c r="B4173" s="19"/>
    </row>
    <row r="4174" spans="2:2" x14ac:dyDescent="0.25">
      <c r="B4174" s="19"/>
    </row>
    <row r="4175" spans="2:2" x14ac:dyDescent="0.25">
      <c r="B4175" s="19"/>
    </row>
    <row r="4176" spans="2:2" x14ac:dyDescent="0.25">
      <c r="B4176" s="19"/>
    </row>
    <row r="4177" spans="2:2" x14ac:dyDescent="0.25">
      <c r="B4177" s="19"/>
    </row>
    <row r="4178" spans="2:2" x14ac:dyDescent="0.25">
      <c r="B4178" s="19"/>
    </row>
    <row r="4179" spans="2:2" x14ac:dyDescent="0.25">
      <c r="B4179" s="19"/>
    </row>
    <row r="4180" spans="2:2" x14ac:dyDescent="0.25">
      <c r="B4180" s="19"/>
    </row>
    <row r="4181" spans="2:2" x14ac:dyDescent="0.25">
      <c r="B4181" s="19"/>
    </row>
    <row r="4182" spans="2:2" x14ac:dyDescent="0.25">
      <c r="B4182" s="19"/>
    </row>
    <row r="4183" spans="2:2" x14ac:dyDescent="0.25">
      <c r="B4183" s="19"/>
    </row>
    <row r="4184" spans="2:2" x14ac:dyDescent="0.25">
      <c r="B4184" s="19"/>
    </row>
    <row r="4185" spans="2:2" x14ac:dyDescent="0.25">
      <c r="B4185" s="19"/>
    </row>
    <row r="4186" spans="2:2" x14ac:dyDescent="0.25">
      <c r="B4186" s="19"/>
    </row>
    <row r="4187" spans="2:2" x14ac:dyDescent="0.25">
      <c r="B4187" s="19"/>
    </row>
    <row r="4188" spans="2:2" x14ac:dyDescent="0.25">
      <c r="B4188" s="19"/>
    </row>
    <row r="4189" spans="2:2" x14ac:dyDescent="0.25">
      <c r="B4189" s="19"/>
    </row>
    <row r="4190" spans="2:2" x14ac:dyDescent="0.25">
      <c r="B4190" s="19"/>
    </row>
    <row r="4191" spans="2:2" x14ac:dyDescent="0.25">
      <c r="B4191" s="19"/>
    </row>
    <row r="4192" spans="2:2" x14ac:dyDescent="0.25">
      <c r="B4192" s="19"/>
    </row>
    <row r="4193" spans="2:2" x14ac:dyDescent="0.25">
      <c r="B4193" s="19"/>
    </row>
    <row r="4194" spans="2:2" x14ac:dyDescent="0.25">
      <c r="B4194" s="19"/>
    </row>
    <row r="4195" spans="2:2" x14ac:dyDescent="0.25">
      <c r="B4195" s="19"/>
    </row>
    <row r="4196" spans="2:2" x14ac:dyDescent="0.25">
      <c r="B4196" s="19"/>
    </row>
    <row r="4197" spans="2:2" x14ac:dyDescent="0.25">
      <c r="B4197" s="19"/>
    </row>
    <row r="4198" spans="2:2" x14ac:dyDescent="0.25">
      <c r="B4198" s="19"/>
    </row>
    <row r="4199" spans="2:2" x14ac:dyDescent="0.25">
      <c r="B4199" s="19"/>
    </row>
    <row r="4200" spans="2:2" x14ac:dyDescent="0.25">
      <c r="B4200" s="19"/>
    </row>
    <row r="4201" spans="2:2" x14ac:dyDescent="0.25">
      <c r="B4201" s="19"/>
    </row>
    <row r="4202" spans="2:2" x14ac:dyDescent="0.25">
      <c r="B4202" s="19"/>
    </row>
    <row r="4203" spans="2:2" x14ac:dyDescent="0.25">
      <c r="B4203" s="19"/>
    </row>
    <row r="4204" spans="2:2" x14ac:dyDescent="0.25">
      <c r="B4204" s="19"/>
    </row>
    <row r="4205" spans="2:2" x14ac:dyDescent="0.25">
      <c r="B4205" s="19"/>
    </row>
    <row r="4206" spans="2:2" x14ac:dyDescent="0.25">
      <c r="B4206" s="19"/>
    </row>
    <row r="4207" spans="2:2" x14ac:dyDescent="0.25">
      <c r="B4207" s="19"/>
    </row>
    <row r="4208" spans="2:2" x14ac:dyDescent="0.25">
      <c r="B4208" s="19"/>
    </row>
    <row r="4209" spans="2:2" x14ac:dyDescent="0.25">
      <c r="B4209" s="19"/>
    </row>
    <row r="4210" spans="2:2" x14ac:dyDescent="0.25">
      <c r="B4210" s="19"/>
    </row>
    <row r="4211" spans="2:2" x14ac:dyDescent="0.25">
      <c r="B4211" s="19"/>
    </row>
    <row r="4212" spans="2:2" x14ac:dyDescent="0.25">
      <c r="B4212" s="19"/>
    </row>
    <row r="4213" spans="2:2" x14ac:dyDescent="0.25">
      <c r="B4213" s="19"/>
    </row>
    <row r="4214" spans="2:2" x14ac:dyDescent="0.25">
      <c r="B4214" s="19"/>
    </row>
    <row r="4215" spans="2:2" x14ac:dyDescent="0.25">
      <c r="B4215" s="19"/>
    </row>
    <row r="4216" spans="2:2" x14ac:dyDescent="0.25">
      <c r="B4216" s="19"/>
    </row>
    <row r="4217" spans="2:2" x14ac:dyDescent="0.25">
      <c r="B4217" s="19"/>
    </row>
    <row r="4218" spans="2:2" x14ac:dyDescent="0.25">
      <c r="B4218" s="19"/>
    </row>
    <row r="4219" spans="2:2" x14ac:dyDescent="0.25">
      <c r="B4219" s="19"/>
    </row>
    <row r="4220" spans="2:2" x14ac:dyDescent="0.25">
      <c r="B4220" s="19"/>
    </row>
    <row r="4221" spans="2:2" x14ac:dyDescent="0.25">
      <c r="B4221" s="19"/>
    </row>
    <row r="4222" spans="2:2" x14ac:dyDescent="0.25">
      <c r="B4222" s="19"/>
    </row>
    <row r="4223" spans="2:2" x14ac:dyDescent="0.25">
      <c r="B4223" s="19"/>
    </row>
    <row r="4224" spans="2:2" x14ac:dyDescent="0.25">
      <c r="B4224" s="19"/>
    </row>
    <row r="4225" spans="2:2" x14ac:dyDescent="0.25">
      <c r="B4225" s="19"/>
    </row>
    <row r="4226" spans="2:2" x14ac:dyDescent="0.25">
      <c r="B4226" s="19"/>
    </row>
    <row r="4227" spans="2:2" x14ac:dyDescent="0.25">
      <c r="B4227" s="19"/>
    </row>
    <row r="4228" spans="2:2" x14ac:dyDescent="0.25">
      <c r="B4228" s="19"/>
    </row>
    <row r="4229" spans="2:2" x14ac:dyDescent="0.25">
      <c r="B4229" s="19"/>
    </row>
    <row r="4230" spans="2:2" x14ac:dyDescent="0.25">
      <c r="B4230" s="19"/>
    </row>
    <row r="4231" spans="2:2" x14ac:dyDescent="0.25">
      <c r="B4231" s="19"/>
    </row>
    <row r="4232" spans="2:2" x14ac:dyDescent="0.25">
      <c r="B4232" s="19"/>
    </row>
    <row r="4233" spans="2:2" x14ac:dyDescent="0.25">
      <c r="B4233" s="19"/>
    </row>
    <row r="4234" spans="2:2" x14ac:dyDescent="0.25">
      <c r="B4234" s="19"/>
    </row>
    <row r="4235" spans="2:2" x14ac:dyDescent="0.25">
      <c r="B4235" s="19"/>
    </row>
    <row r="4236" spans="2:2" x14ac:dyDescent="0.25">
      <c r="B4236" s="19"/>
    </row>
    <row r="4237" spans="2:2" x14ac:dyDescent="0.25">
      <c r="B4237" s="19"/>
    </row>
    <row r="4238" spans="2:2" x14ac:dyDescent="0.25">
      <c r="B4238" s="19"/>
    </row>
    <row r="4239" spans="2:2" x14ac:dyDescent="0.25">
      <c r="B4239" s="19"/>
    </row>
    <row r="4240" spans="2:2" x14ac:dyDescent="0.25">
      <c r="B4240" s="19"/>
    </row>
    <row r="4241" spans="2:2" x14ac:dyDescent="0.25">
      <c r="B4241" s="19"/>
    </row>
    <row r="4242" spans="2:2" x14ac:dyDescent="0.25">
      <c r="B4242" s="19"/>
    </row>
    <row r="4243" spans="2:2" x14ac:dyDescent="0.25">
      <c r="B4243" s="19"/>
    </row>
    <row r="4244" spans="2:2" x14ac:dyDescent="0.25">
      <c r="B4244" s="19"/>
    </row>
    <row r="4245" spans="2:2" x14ac:dyDescent="0.25">
      <c r="B4245" s="19"/>
    </row>
    <row r="4246" spans="2:2" x14ac:dyDescent="0.25">
      <c r="B4246" s="19"/>
    </row>
    <row r="4247" spans="2:2" x14ac:dyDescent="0.25">
      <c r="B4247" s="19"/>
    </row>
    <row r="4248" spans="2:2" x14ac:dyDescent="0.25">
      <c r="B4248" s="19"/>
    </row>
    <row r="4249" spans="2:2" x14ac:dyDescent="0.25">
      <c r="B4249" s="19"/>
    </row>
    <row r="4250" spans="2:2" x14ac:dyDescent="0.25">
      <c r="B4250" s="19"/>
    </row>
    <row r="4251" spans="2:2" x14ac:dyDescent="0.25">
      <c r="B4251" s="19"/>
    </row>
    <row r="4252" spans="2:2" x14ac:dyDescent="0.25">
      <c r="B4252" s="19"/>
    </row>
    <row r="4253" spans="2:2" x14ac:dyDescent="0.25">
      <c r="B4253" s="19"/>
    </row>
    <row r="4254" spans="2:2" x14ac:dyDescent="0.25">
      <c r="B4254" s="19"/>
    </row>
    <row r="4255" spans="2:2" x14ac:dyDescent="0.25">
      <c r="B4255" s="19"/>
    </row>
    <row r="4256" spans="2:2" x14ac:dyDescent="0.25">
      <c r="B4256" s="19"/>
    </row>
    <row r="4257" spans="2:2" x14ac:dyDescent="0.25">
      <c r="B4257" s="19"/>
    </row>
    <row r="4258" spans="2:2" x14ac:dyDescent="0.25">
      <c r="B4258" s="19"/>
    </row>
    <row r="4259" spans="2:2" x14ac:dyDescent="0.25">
      <c r="B4259" s="19"/>
    </row>
    <row r="4260" spans="2:2" x14ac:dyDescent="0.25">
      <c r="B4260" s="19"/>
    </row>
    <row r="4261" spans="2:2" x14ac:dyDescent="0.25">
      <c r="B4261" s="19"/>
    </row>
    <row r="4262" spans="2:2" x14ac:dyDescent="0.25">
      <c r="B4262" s="19"/>
    </row>
    <row r="4263" spans="2:2" x14ac:dyDescent="0.25">
      <c r="B4263" s="19"/>
    </row>
    <row r="4264" spans="2:2" x14ac:dyDescent="0.25">
      <c r="B4264" s="19"/>
    </row>
    <row r="4265" spans="2:2" x14ac:dyDescent="0.25">
      <c r="B4265" s="19"/>
    </row>
    <row r="4266" spans="2:2" x14ac:dyDescent="0.25">
      <c r="B4266" s="19"/>
    </row>
    <row r="4267" spans="2:2" x14ac:dyDescent="0.25">
      <c r="B4267" s="19"/>
    </row>
    <row r="4268" spans="2:2" x14ac:dyDescent="0.25">
      <c r="B4268" s="19"/>
    </row>
    <row r="4269" spans="2:2" x14ac:dyDescent="0.25">
      <c r="B4269" s="19"/>
    </row>
    <row r="4270" spans="2:2" x14ac:dyDescent="0.25">
      <c r="B4270" s="19"/>
    </row>
    <row r="4271" spans="2:2" x14ac:dyDescent="0.25">
      <c r="B4271" s="19"/>
    </row>
    <row r="4272" spans="2:2" x14ac:dyDescent="0.25">
      <c r="B4272" s="19"/>
    </row>
    <row r="4273" spans="2:2" x14ac:dyDescent="0.25">
      <c r="B4273" s="19"/>
    </row>
    <row r="4274" spans="2:2" x14ac:dyDescent="0.25">
      <c r="B4274" s="19"/>
    </row>
    <row r="4275" spans="2:2" x14ac:dyDescent="0.25">
      <c r="B4275" s="19"/>
    </row>
    <row r="4276" spans="2:2" x14ac:dyDescent="0.25">
      <c r="B4276" s="19"/>
    </row>
    <row r="4277" spans="2:2" x14ac:dyDescent="0.25">
      <c r="B4277" s="19"/>
    </row>
    <row r="4278" spans="2:2" x14ac:dyDescent="0.25">
      <c r="B4278" s="19"/>
    </row>
    <row r="4279" spans="2:2" x14ac:dyDescent="0.25">
      <c r="B4279" s="19"/>
    </row>
    <row r="4280" spans="2:2" x14ac:dyDescent="0.25">
      <c r="B4280" s="19"/>
    </row>
    <row r="4281" spans="2:2" x14ac:dyDescent="0.25">
      <c r="B4281" s="19"/>
    </row>
    <row r="4282" spans="2:2" x14ac:dyDescent="0.25">
      <c r="B4282" s="19"/>
    </row>
    <row r="4283" spans="2:2" x14ac:dyDescent="0.25">
      <c r="B4283" s="19"/>
    </row>
    <row r="4284" spans="2:2" x14ac:dyDescent="0.25">
      <c r="B4284" s="19"/>
    </row>
    <row r="4285" spans="2:2" x14ac:dyDescent="0.25">
      <c r="B4285" s="19"/>
    </row>
    <row r="4286" spans="2:2" x14ac:dyDescent="0.25">
      <c r="B4286" s="19"/>
    </row>
    <row r="4287" spans="2:2" x14ac:dyDescent="0.25">
      <c r="B4287" s="19"/>
    </row>
    <row r="4288" spans="2:2" x14ac:dyDescent="0.25">
      <c r="B4288" s="19"/>
    </row>
    <row r="4289" spans="2:2" x14ac:dyDescent="0.25">
      <c r="B4289" s="19"/>
    </row>
    <row r="4290" spans="2:2" x14ac:dyDescent="0.25">
      <c r="B4290" s="19"/>
    </row>
    <row r="4291" spans="2:2" x14ac:dyDescent="0.25">
      <c r="B4291" s="19"/>
    </row>
    <row r="4292" spans="2:2" x14ac:dyDescent="0.25">
      <c r="B4292" s="19"/>
    </row>
    <row r="4293" spans="2:2" x14ac:dyDescent="0.25">
      <c r="B4293" s="19"/>
    </row>
    <row r="4294" spans="2:2" x14ac:dyDescent="0.25">
      <c r="B4294" s="19"/>
    </row>
    <row r="4295" spans="2:2" x14ac:dyDescent="0.25">
      <c r="B4295" s="19"/>
    </row>
    <row r="4296" spans="2:2" x14ac:dyDescent="0.25">
      <c r="B4296" s="19"/>
    </row>
    <row r="4297" spans="2:2" x14ac:dyDescent="0.25">
      <c r="B4297" s="19"/>
    </row>
    <row r="4298" spans="2:2" x14ac:dyDescent="0.25">
      <c r="B4298" s="19"/>
    </row>
    <row r="4299" spans="2:2" x14ac:dyDescent="0.25">
      <c r="B4299" s="19"/>
    </row>
    <row r="4300" spans="2:2" x14ac:dyDescent="0.25">
      <c r="B4300" s="19"/>
    </row>
    <row r="4301" spans="2:2" x14ac:dyDescent="0.25">
      <c r="B4301" s="19"/>
    </row>
    <row r="4302" spans="2:2" x14ac:dyDescent="0.25">
      <c r="B4302" s="19"/>
    </row>
    <row r="4303" spans="2:2" x14ac:dyDescent="0.25">
      <c r="B4303" s="19"/>
    </row>
    <row r="4304" spans="2:2" x14ac:dyDescent="0.25">
      <c r="B4304" s="19"/>
    </row>
    <row r="4305" spans="2:2" x14ac:dyDescent="0.25">
      <c r="B4305" s="19"/>
    </row>
    <row r="4306" spans="2:2" x14ac:dyDescent="0.25">
      <c r="B4306" s="19"/>
    </row>
    <row r="4307" spans="2:2" x14ac:dyDescent="0.25">
      <c r="B4307" s="19"/>
    </row>
    <row r="4308" spans="2:2" x14ac:dyDescent="0.25">
      <c r="B4308" s="19"/>
    </row>
    <row r="4309" spans="2:2" x14ac:dyDescent="0.25">
      <c r="B4309" s="19"/>
    </row>
    <row r="4310" spans="2:2" x14ac:dyDescent="0.25">
      <c r="B4310" s="19"/>
    </row>
    <row r="4311" spans="2:2" x14ac:dyDescent="0.25">
      <c r="B4311" s="19"/>
    </row>
    <row r="4312" spans="2:2" x14ac:dyDescent="0.25">
      <c r="B4312" s="19"/>
    </row>
    <row r="4313" spans="2:2" x14ac:dyDescent="0.25">
      <c r="B4313" s="19"/>
    </row>
    <row r="4314" spans="2:2" x14ac:dyDescent="0.25">
      <c r="B4314" s="19"/>
    </row>
    <row r="4315" spans="2:2" x14ac:dyDescent="0.25">
      <c r="B4315" s="19"/>
    </row>
    <row r="4316" spans="2:2" x14ac:dyDescent="0.25">
      <c r="B4316" s="19"/>
    </row>
    <row r="4317" spans="2:2" x14ac:dyDescent="0.25">
      <c r="B4317" s="19"/>
    </row>
    <row r="4318" spans="2:2" x14ac:dyDescent="0.25">
      <c r="B4318" s="19"/>
    </row>
    <row r="4319" spans="2:2" x14ac:dyDescent="0.25">
      <c r="B4319" s="19"/>
    </row>
    <row r="4320" spans="2:2" x14ac:dyDescent="0.25">
      <c r="B4320" s="19"/>
    </row>
    <row r="4321" spans="2:2" x14ac:dyDescent="0.25">
      <c r="B4321" s="19"/>
    </row>
    <row r="4322" spans="2:2" x14ac:dyDescent="0.25">
      <c r="B4322" s="19"/>
    </row>
    <row r="4323" spans="2:2" x14ac:dyDescent="0.25">
      <c r="B4323" s="19"/>
    </row>
    <row r="4324" spans="2:2" x14ac:dyDescent="0.25">
      <c r="B4324" s="19"/>
    </row>
    <row r="4325" spans="2:2" x14ac:dyDescent="0.25">
      <c r="B4325" s="19"/>
    </row>
    <row r="4326" spans="2:2" x14ac:dyDescent="0.25">
      <c r="B4326" s="19"/>
    </row>
    <row r="4327" spans="2:2" x14ac:dyDescent="0.25">
      <c r="B4327" s="19"/>
    </row>
    <row r="4328" spans="2:2" x14ac:dyDescent="0.25">
      <c r="B4328" s="19"/>
    </row>
    <row r="4329" spans="2:2" x14ac:dyDescent="0.25">
      <c r="B4329" s="19"/>
    </row>
    <row r="4330" spans="2:2" x14ac:dyDescent="0.25">
      <c r="B4330" s="19"/>
    </row>
    <row r="4331" spans="2:2" x14ac:dyDescent="0.25">
      <c r="B4331" s="19"/>
    </row>
    <row r="4332" spans="2:2" x14ac:dyDescent="0.25">
      <c r="B4332" s="19"/>
    </row>
    <row r="4333" spans="2:2" x14ac:dyDescent="0.25">
      <c r="B4333" s="19"/>
    </row>
    <row r="4334" spans="2:2" x14ac:dyDescent="0.25">
      <c r="B4334" s="19"/>
    </row>
    <row r="4335" spans="2:2" x14ac:dyDescent="0.25">
      <c r="B4335" s="19"/>
    </row>
    <row r="4336" spans="2:2" x14ac:dyDescent="0.25">
      <c r="B4336" s="19"/>
    </row>
    <row r="4337" spans="2:2" x14ac:dyDescent="0.25">
      <c r="B4337" s="19"/>
    </row>
    <row r="4338" spans="2:2" x14ac:dyDescent="0.25">
      <c r="B4338" s="19"/>
    </row>
    <row r="4339" spans="2:2" x14ac:dyDescent="0.25">
      <c r="B4339" s="19"/>
    </row>
    <row r="4340" spans="2:2" x14ac:dyDescent="0.25">
      <c r="B4340" s="19"/>
    </row>
    <row r="4341" spans="2:2" x14ac:dyDescent="0.25">
      <c r="B4341" s="19"/>
    </row>
    <row r="4342" spans="2:2" x14ac:dyDescent="0.25">
      <c r="B4342" s="19"/>
    </row>
    <row r="4343" spans="2:2" x14ac:dyDescent="0.25">
      <c r="B4343" s="19"/>
    </row>
    <row r="4344" spans="2:2" x14ac:dyDescent="0.25">
      <c r="B4344" s="19"/>
    </row>
    <row r="4345" spans="2:2" x14ac:dyDescent="0.25">
      <c r="B4345" s="19"/>
    </row>
    <row r="4346" spans="2:2" x14ac:dyDescent="0.25">
      <c r="B4346" s="19"/>
    </row>
    <row r="4347" spans="2:2" x14ac:dyDescent="0.25">
      <c r="B4347" s="19"/>
    </row>
    <row r="4348" spans="2:2" x14ac:dyDescent="0.25">
      <c r="B4348" s="19"/>
    </row>
    <row r="4349" spans="2:2" x14ac:dyDescent="0.25">
      <c r="B4349" s="19"/>
    </row>
    <row r="4350" spans="2:2" x14ac:dyDescent="0.25">
      <c r="B4350" s="19"/>
    </row>
    <row r="4351" spans="2:2" x14ac:dyDescent="0.25">
      <c r="B4351" s="19"/>
    </row>
    <row r="4352" spans="2:2" x14ac:dyDescent="0.25">
      <c r="B4352" s="19"/>
    </row>
    <row r="4353" spans="2:2" x14ac:dyDescent="0.25">
      <c r="B4353" s="19"/>
    </row>
    <row r="4354" spans="2:2" x14ac:dyDescent="0.25">
      <c r="B4354" s="19"/>
    </row>
    <row r="4355" spans="2:2" x14ac:dyDescent="0.25">
      <c r="B4355" s="19"/>
    </row>
    <row r="4356" spans="2:2" x14ac:dyDescent="0.25">
      <c r="B4356" s="19"/>
    </row>
    <row r="4357" spans="2:2" x14ac:dyDescent="0.25">
      <c r="B4357" s="19"/>
    </row>
    <row r="4358" spans="2:2" x14ac:dyDescent="0.25">
      <c r="B4358" s="19"/>
    </row>
    <row r="4359" spans="2:2" x14ac:dyDescent="0.25">
      <c r="B4359" s="19"/>
    </row>
    <row r="4360" spans="2:2" x14ac:dyDescent="0.25">
      <c r="B4360" s="19"/>
    </row>
    <row r="4361" spans="2:2" x14ac:dyDescent="0.25">
      <c r="B4361" s="19"/>
    </row>
    <row r="4362" spans="2:2" x14ac:dyDescent="0.25">
      <c r="B4362" s="19"/>
    </row>
    <row r="4363" spans="2:2" x14ac:dyDescent="0.25">
      <c r="B4363" s="19"/>
    </row>
    <row r="4364" spans="2:2" x14ac:dyDescent="0.25">
      <c r="B4364" s="19"/>
    </row>
    <row r="4365" spans="2:2" x14ac:dyDescent="0.25">
      <c r="B4365" s="19"/>
    </row>
    <row r="4366" spans="2:2" x14ac:dyDescent="0.25">
      <c r="B4366" s="19"/>
    </row>
    <row r="4367" spans="2:2" x14ac:dyDescent="0.25">
      <c r="B4367" s="19"/>
    </row>
    <row r="4368" spans="2:2" x14ac:dyDescent="0.25">
      <c r="B4368" s="19"/>
    </row>
    <row r="4369" spans="2:2" x14ac:dyDescent="0.25">
      <c r="B4369" s="19"/>
    </row>
    <row r="4370" spans="2:2" x14ac:dyDescent="0.25">
      <c r="B4370" s="19"/>
    </row>
    <row r="4371" spans="2:2" x14ac:dyDescent="0.25">
      <c r="B4371" s="19"/>
    </row>
    <row r="4372" spans="2:2" x14ac:dyDescent="0.25">
      <c r="B4372" s="19"/>
    </row>
    <row r="4373" spans="2:2" x14ac:dyDescent="0.25">
      <c r="B4373" s="19"/>
    </row>
    <row r="4374" spans="2:2" x14ac:dyDescent="0.25">
      <c r="B4374" s="19"/>
    </row>
    <row r="4375" spans="2:2" x14ac:dyDescent="0.25">
      <c r="B4375" s="19"/>
    </row>
    <row r="4376" spans="2:2" x14ac:dyDescent="0.25">
      <c r="B4376" s="19"/>
    </row>
    <row r="4377" spans="2:2" x14ac:dyDescent="0.25">
      <c r="B4377" s="19"/>
    </row>
    <row r="4378" spans="2:2" x14ac:dyDescent="0.25">
      <c r="B4378" s="19"/>
    </row>
    <row r="4379" spans="2:2" x14ac:dyDescent="0.25">
      <c r="B4379" s="19"/>
    </row>
    <row r="4380" spans="2:2" x14ac:dyDescent="0.25">
      <c r="B4380" s="19"/>
    </row>
    <row r="4381" spans="2:2" x14ac:dyDescent="0.25">
      <c r="B4381" s="19"/>
    </row>
    <row r="4382" spans="2:2" x14ac:dyDescent="0.25">
      <c r="B4382" s="19"/>
    </row>
    <row r="4383" spans="2:2" x14ac:dyDescent="0.25">
      <c r="B4383" s="19"/>
    </row>
    <row r="4384" spans="2:2" x14ac:dyDescent="0.25">
      <c r="B4384" s="19"/>
    </row>
    <row r="4385" spans="2:2" x14ac:dyDescent="0.25">
      <c r="B4385" s="19"/>
    </row>
    <row r="4386" spans="2:2" x14ac:dyDescent="0.25">
      <c r="B4386" s="19"/>
    </row>
    <row r="4387" spans="2:2" x14ac:dyDescent="0.25">
      <c r="B4387" s="19"/>
    </row>
    <row r="4388" spans="2:2" x14ac:dyDescent="0.25">
      <c r="B4388" s="19"/>
    </row>
    <row r="4389" spans="2:2" x14ac:dyDescent="0.25">
      <c r="B4389" s="19"/>
    </row>
    <row r="4390" spans="2:2" x14ac:dyDescent="0.25">
      <c r="B4390" s="19"/>
    </row>
    <row r="4391" spans="2:2" x14ac:dyDescent="0.25">
      <c r="B4391" s="19"/>
    </row>
    <row r="4392" spans="2:2" x14ac:dyDescent="0.25">
      <c r="B4392" s="19"/>
    </row>
    <row r="4393" spans="2:2" x14ac:dyDescent="0.25">
      <c r="B4393" s="19"/>
    </row>
    <row r="4394" spans="2:2" x14ac:dyDescent="0.25">
      <c r="B4394" s="19"/>
    </row>
    <row r="4395" spans="2:2" x14ac:dyDescent="0.25">
      <c r="B4395" s="19"/>
    </row>
    <row r="4396" spans="2:2" x14ac:dyDescent="0.25">
      <c r="B4396" s="19"/>
    </row>
    <row r="4397" spans="2:2" x14ac:dyDescent="0.25">
      <c r="B4397" s="19"/>
    </row>
    <row r="4398" spans="2:2" x14ac:dyDescent="0.25">
      <c r="B4398" s="19"/>
    </row>
    <row r="4399" spans="2:2" x14ac:dyDescent="0.25">
      <c r="B4399" s="19"/>
    </row>
    <row r="4400" spans="2:2" x14ac:dyDescent="0.25">
      <c r="B4400" s="19"/>
    </row>
    <row r="4401" spans="2:2" x14ac:dyDescent="0.25">
      <c r="B4401" s="19"/>
    </row>
    <row r="4402" spans="2:2" x14ac:dyDescent="0.25">
      <c r="B4402" s="19"/>
    </row>
    <row r="4403" spans="2:2" x14ac:dyDescent="0.25">
      <c r="B4403" s="19"/>
    </row>
    <row r="4404" spans="2:2" x14ac:dyDescent="0.25">
      <c r="B4404" s="19"/>
    </row>
    <row r="4405" spans="2:2" x14ac:dyDescent="0.25">
      <c r="B4405" s="19"/>
    </row>
    <row r="4406" spans="2:2" x14ac:dyDescent="0.25">
      <c r="B4406" s="19"/>
    </row>
    <row r="4407" spans="2:2" x14ac:dyDescent="0.25">
      <c r="B4407" s="19"/>
    </row>
    <row r="4408" spans="2:2" x14ac:dyDescent="0.25">
      <c r="B4408" s="19"/>
    </row>
    <row r="4409" spans="2:2" x14ac:dyDescent="0.25">
      <c r="B4409" s="19"/>
    </row>
    <row r="4410" spans="2:2" x14ac:dyDescent="0.25">
      <c r="B4410" s="19"/>
    </row>
    <row r="4411" spans="2:2" x14ac:dyDescent="0.25">
      <c r="B4411" s="19"/>
    </row>
    <row r="4412" spans="2:2" x14ac:dyDescent="0.25">
      <c r="B4412" s="19"/>
    </row>
    <row r="4413" spans="2:2" x14ac:dyDescent="0.25">
      <c r="B4413" s="19"/>
    </row>
    <row r="4414" spans="2:2" x14ac:dyDescent="0.25">
      <c r="B4414" s="19"/>
    </row>
    <row r="4415" spans="2:2" x14ac:dyDescent="0.25">
      <c r="B4415" s="19"/>
    </row>
    <row r="4416" spans="2:2" x14ac:dyDescent="0.25">
      <c r="B4416" s="19"/>
    </row>
    <row r="4417" spans="2:2" x14ac:dyDescent="0.25">
      <c r="B4417" s="19"/>
    </row>
    <row r="4418" spans="2:2" x14ac:dyDescent="0.25">
      <c r="B4418" s="19"/>
    </row>
    <row r="4419" spans="2:2" x14ac:dyDescent="0.25">
      <c r="B4419" s="19"/>
    </row>
    <row r="4420" spans="2:2" x14ac:dyDescent="0.25">
      <c r="B4420" s="19"/>
    </row>
    <row r="4421" spans="2:2" x14ac:dyDescent="0.25">
      <c r="B4421" s="19"/>
    </row>
    <row r="4422" spans="2:2" x14ac:dyDescent="0.25">
      <c r="B4422" s="19"/>
    </row>
    <row r="4423" spans="2:2" x14ac:dyDescent="0.25">
      <c r="B4423" s="19"/>
    </row>
    <row r="4424" spans="2:2" x14ac:dyDescent="0.25">
      <c r="B4424" s="19"/>
    </row>
    <row r="4425" spans="2:2" x14ac:dyDescent="0.25">
      <c r="B4425" s="19"/>
    </row>
    <row r="4426" spans="2:2" x14ac:dyDescent="0.25">
      <c r="B4426" s="19"/>
    </row>
    <row r="4427" spans="2:2" x14ac:dyDescent="0.25">
      <c r="B4427" s="19"/>
    </row>
    <row r="4428" spans="2:2" x14ac:dyDescent="0.25">
      <c r="B4428" s="19"/>
    </row>
    <row r="4429" spans="2:2" x14ac:dyDescent="0.25">
      <c r="B4429" s="19"/>
    </row>
    <row r="4430" spans="2:2" x14ac:dyDescent="0.25">
      <c r="B4430" s="19"/>
    </row>
    <row r="4431" spans="2:2" x14ac:dyDescent="0.25">
      <c r="B4431" s="19"/>
    </row>
    <row r="4432" spans="2:2" x14ac:dyDescent="0.25">
      <c r="B4432" s="19"/>
    </row>
    <row r="4433" spans="2:2" x14ac:dyDescent="0.25">
      <c r="B4433" s="19"/>
    </row>
    <row r="4434" spans="2:2" x14ac:dyDescent="0.25">
      <c r="B4434" s="19"/>
    </row>
    <row r="4435" spans="2:2" x14ac:dyDescent="0.25">
      <c r="B4435" s="19"/>
    </row>
    <row r="4436" spans="2:2" x14ac:dyDescent="0.25">
      <c r="B4436" s="19"/>
    </row>
    <row r="4437" spans="2:2" x14ac:dyDescent="0.25">
      <c r="B4437" s="19"/>
    </row>
    <row r="4438" spans="2:2" x14ac:dyDescent="0.25">
      <c r="B4438" s="19"/>
    </row>
    <row r="4439" spans="2:2" x14ac:dyDescent="0.25">
      <c r="B4439" s="19"/>
    </row>
    <row r="4440" spans="2:2" x14ac:dyDescent="0.25">
      <c r="B4440" s="19"/>
    </row>
    <row r="4441" spans="2:2" x14ac:dyDescent="0.25">
      <c r="B4441" s="19"/>
    </row>
    <row r="4442" spans="2:2" x14ac:dyDescent="0.25">
      <c r="B4442" s="19"/>
    </row>
    <row r="4443" spans="2:2" x14ac:dyDescent="0.25">
      <c r="B4443" s="19"/>
    </row>
    <row r="4444" spans="2:2" x14ac:dyDescent="0.25">
      <c r="B4444" s="19"/>
    </row>
    <row r="4445" spans="2:2" x14ac:dyDescent="0.25">
      <c r="B4445" s="19"/>
    </row>
    <row r="4446" spans="2:2" x14ac:dyDescent="0.25">
      <c r="B4446" s="19"/>
    </row>
    <row r="4447" spans="2:2" x14ac:dyDescent="0.25">
      <c r="B4447" s="19"/>
    </row>
    <row r="4448" spans="2:2" x14ac:dyDescent="0.25">
      <c r="B4448" s="19"/>
    </row>
    <row r="4449" spans="2:2" x14ac:dyDescent="0.25">
      <c r="B4449" s="19"/>
    </row>
    <row r="4450" spans="2:2" x14ac:dyDescent="0.25">
      <c r="B4450" s="19"/>
    </row>
    <row r="4451" spans="2:2" x14ac:dyDescent="0.25">
      <c r="B4451" s="19"/>
    </row>
    <row r="4452" spans="2:2" x14ac:dyDescent="0.25">
      <c r="B4452" s="19"/>
    </row>
    <row r="4453" spans="2:2" x14ac:dyDescent="0.25">
      <c r="B4453" s="19"/>
    </row>
    <row r="4454" spans="2:2" x14ac:dyDescent="0.25">
      <c r="B4454" s="19"/>
    </row>
    <row r="4455" spans="2:2" x14ac:dyDescent="0.25">
      <c r="B4455" s="19"/>
    </row>
    <row r="4456" spans="2:2" x14ac:dyDescent="0.25">
      <c r="B4456" s="19"/>
    </row>
    <row r="4457" spans="2:2" x14ac:dyDescent="0.25">
      <c r="B4457" s="19"/>
    </row>
    <row r="4458" spans="2:2" x14ac:dyDescent="0.25">
      <c r="B4458" s="19"/>
    </row>
    <row r="4459" spans="2:2" x14ac:dyDescent="0.25">
      <c r="B4459" s="19"/>
    </row>
    <row r="4460" spans="2:2" x14ac:dyDescent="0.25">
      <c r="B4460" s="19"/>
    </row>
    <row r="4461" spans="2:2" x14ac:dyDescent="0.25">
      <c r="B4461" s="19"/>
    </row>
    <row r="4462" spans="2:2" x14ac:dyDescent="0.25">
      <c r="B4462" s="19"/>
    </row>
    <row r="4463" spans="2:2" x14ac:dyDescent="0.25">
      <c r="B4463" s="19"/>
    </row>
    <row r="4464" spans="2:2" x14ac:dyDescent="0.25">
      <c r="B4464" s="19"/>
    </row>
    <row r="4465" spans="2:2" x14ac:dyDescent="0.25">
      <c r="B4465" s="19"/>
    </row>
    <row r="4466" spans="2:2" x14ac:dyDescent="0.25">
      <c r="B4466" s="19"/>
    </row>
    <row r="4467" spans="2:2" x14ac:dyDescent="0.25">
      <c r="B4467" s="19"/>
    </row>
    <row r="4468" spans="2:2" x14ac:dyDescent="0.25">
      <c r="B4468" s="19"/>
    </row>
    <row r="4469" spans="2:2" x14ac:dyDescent="0.25">
      <c r="B4469" s="19"/>
    </row>
    <row r="4470" spans="2:2" x14ac:dyDescent="0.25">
      <c r="B4470" s="19"/>
    </row>
    <row r="4471" spans="2:2" x14ac:dyDescent="0.25">
      <c r="B4471" s="19"/>
    </row>
    <row r="4472" spans="2:2" x14ac:dyDescent="0.25">
      <c r="B4472" s="19"/>
    </row>
    <row r="4473" spans="2:2" x14ac:dyDescent="0.25">
      <c r="B4473" s="19"/>
    </row>
    <row r="4474" spans="2:2" x14ac:dyDescent="0.25">
      <c r="B4474" s="19"/>
    </row>
    <row r="4475" spans="2:2" x14ac:dyDescent="0.25">
      <c r="B4475" s="19"/>
    </row>
    <row r="4476" spans="2:2" x14ac:dyDescent="0.25">
      <c r="B4476" s="19"/>
    </row>
    <row r="4477" spans="2:2" x14ac:dyDescent="0.25">
      <c r="B4477" s="19"/>
    </row>
    <row r="4478" spans="2:2" x14ac:dyDescent="0.25">
      <c r="B4478" s="19"/>
    </row>
    <row r="4479" spans="2:2" x14ac:dyDescent="0.25">
      <c r="B4479" s="19"/>
    </row>
    <row r="4480" spans="2:2" x14ac:dyDescent="0.25">
      <c r="B4480" s="19"/>
    </row>
    <row r="4481" spans="2:2" x14ac:dyDescent="0.25">
      <c r="B4481" s="19"/>
    </row>
    <row r="4482" spans="2:2" x14ac:dyDescent="0.25">
      <c r="B4482" s="19"/>
    </row>
    <row r="4483" spans="2:2" x14ac:dyDescent="0.25">
      <c r="B4483" s="19"/>
    </row>
    <row r="4484" spans="2:2" x14ac:dyDescent="0.25">
      <c r="B4484" s="19"/>
    </row>
    <row r="4485" spans="2:2" x14ac:dyDescent="0.25">
      <c r="B4485" s="19"/>
    </row>
    <row r="4486" spans="2:2" x14ac:dyDescent="0.25">
      <c r="B4486" s="19"/>
    </row>
    <row r="4487" spans="2:2" x14ac:dyDescent="0.25">
      <c r="B4487" s="19"/>
    </row>
    <row r="4488" spans="2:2" x14ac:dyDescent="0.25">
      <c r="B4488" s="19"/>
    </row>
    <row r="4489" spans="2:2" x14ac:dyDescent="0.25">
      <c r="B4489" s="19"/>
    </row>
    <row r="4490" spans="2:2" x14ac:dyDescent="0.25">
      <c r="B4490" s="19"/>
    </row>
    <row r="4491" spans="2:2" x14ac:dyDescent="0.25">
      <c r="B4491" s="19"/>
    </row>
    <row r="4492" spans="2:2" x14ac:dyDescent="0.25">
      <c r="B4492" s="19"/>
    </row>
    <row r="4493" spans="2:2" x14ac:dyDescent="0.25">
      <c r="B4493" s="19"/>
    </row>
    <row r="4494" spans="2:2" x14ac:dyDescent="0.25">
      <c r="B4494" s="19"/>
    </row>
    <row r="4495" spans="2:2" x14ac:dyDescent="0.25">
      <c r="B4495" s="19"/>
    </row>
    <row r="4496" spans="2:2" x14ac:dyDescent="0.25">
      <c r="B4496" s="19"/>
    </row>
    <row r="4497" spans="2:2" x14ac:dyDescent="0.25">
      <c r="B4497" s="19"/>
    </row>
    <row r="4498" spans="2:2" x14ac:dyDescent="0.25">
      <c r="B4498" s="19"/>
    </row>
    <row r="4499" spans="2:2" x14ac:dyDescent="0.25">
      <c r="B4499" s="19"/>
    </row>
    <row r="4500" spans="2:2" x14ac:dyDescent="0.25">
      <c r="B4500" s="19"/>
    </row>
    <row r="4501" spans="2:2" x14ac:dyDescent="0.25">
      <c r="B4501" s="19"/>
    </row>
    <row r="4502" spans="2:2" x14ac:dyDescent="0.25">
      <c r="B4502" s="19"/>
    </row>
    <row r="4503" spans="2:2" x14ac:dyDescent="0.25">
      <c r="B4503" s="19"/>
    </row>
    <row r="4504" spans="2:2" x14ac:dyDescent="0.25">
      <c r="B4504" s="19"/>
    </row>
    <row r="4505" spans="2:2" x14ac:dyDescent="0.25">
      <c r="B4505" s="19"/>
    </row>
    <row r="4506" spans="2:2" x14ac:dyDescent="0.25">
      <c r="B4506" s="19"/>
    </row>
    <row r="4507" spans="2:2" x14ac:dyDescent="0.25">
      <c r="B4507" s="19"/>
    </row>
    <row r="4508" spans="2:2" x14ac:dyDescent="0.25">
      <c r="B4508" s="19"/>
    </row>
    <row r="4509" spans="2:2" x14ac:dyDescent="0.25">
      <c r="B4509" s="19"/>
    </row>
    <row r="4510" spans="2:2" x14ac:dyDescent="0.25">
      <c r="B4510" s="19"/>
    </row>
    <row r="4511" spans="2:2" x14ac:dyDescent="0.25">
      <c r="B4511" s="19"/>
    </row>
    <row r="4512" spans="2:2" x14ac:dyDescent="0.25">
      <c r="B4512" s="19"/>
    </row>
    <row r="4513" spans="2:2" x14ac:dyDescent="0.25">
      <c r="B4513" s="19"/>
    </row>
    <row r="4514" spans="2:2" x14ac:dyDescent="0.25">
      <c r="B4514" s="19"/>
    </row>
    <row r="4515" spans="2:2" x14ac:dyDescent="0.25">
      <c r="B4515" s="19"/>
    </row>
    <row r="4516" spans="2:2" x14ac:dyDescent="0.25">
      <c r="B4516" s="19"/>
    </row>
    <row r="4517" spans="2:2" x14ac:dyDescent="0.25">
      <c r="B4517" s="19"/>
    </row>
    <row r="4518" spans="2:2" x14ac:dyDescent="0.25">
      <c r="B4518" s="19"/>
    </row>
    <row r="4519" spans="2:2" x14ac:dyDescent="0.25">
      <c r="B4519" s="19"/>
    </row>
    <row r="4520" spans="2:2" x14ac:dyDescent="0.25">
      <c r="B4520" s="19"/>
    </row>
    <row r="4521" spans="2:2" x14ac:dyDescent="0.25">
      <c r="B4521" s="19"/>
    </row>
    <row r="4522" spans="2:2" x14ac:dyDescent="0.25">
      <c r="B4522" s="19"/>
    </row>
    <row r="4523" spans="2:2" x14ac:dyDescent="0.25">
      <c r="B4523" s="19"/>
    </row>
    <row r="4524" spans="2:2" x14ac:dyDescent="0.25">
      <c r="B4524" s="19"/>
    </row>
    <row r="4525" spans="2:2" x14ac:dyDescent="0.25">
      <c r="B4525" s="19"/>
    </row>
    <row r="4526" spans="2:2" x14ac:dyDescent="0.25">
      <c r="B4526" s="19"/>
    </row>
    <row r="4527" spans="2:2" x14ac:dyDescent="0.25">
      <c r="B4527" s="19"/>
    </row>
    <row r="4528" spans="2:2" x14ac:dyDescent="0.25">
      <c r="B4528" s="19"/>
    </row>
    <row r="4529" spans="2:2" x14ac:dyDescent="0.25">
      <c r="B4529" s="19"/>
    </row>
    <row r="4530" spans="2:2" x14ac:dyDescent="0.25">
      <c r="B4530" s="19"/>
    </row>
    <row r="4531" spans="2:2" x14ac:dyDescent="0.25">
      <c r="B4531" s="19"/>
    </row>
    <row r="4532" spans="2:2" x14ac:dyDescent="0.25">
      <c r="B4532" s="19"/>
    </row>
    <row r="4533" spans="2:2" x14ac:dyDescent="0.25">
      <c r="B4533" s="19"/>
    </row>
    <row r="4534" spans="2:2" x14ac:dyDescent="0.25">
      <c r="B4534" s="19"/>
    </row>
    <row r="4535" spans="2:2" x14ac:dyDescent="0.25">
      <c r="B4535" s="19"/>
    </row>
    <row r="4536" spans="2:2" x14ac:dyDescent="0.25">
      <c r="B4536" s="19"/>
    </row>
    <row r="4537" spans="2:2" x14ac:dyDescent="0.25">
      <c r="B4537" s="19"/>
    </row>
    <row r="4538" spans="2:2" x14ac:dyDescent="0.25">
      <c r="B4538" s="19"/>
    </row>
    <row r="4539" spans="2:2" x14ac:dyDescent="0.25">
      <c r="B4539" s="19"/>
    </row>
    <row r="4540" spans="2:2" x14ac:dyDescent="0.25">
      <c r="B4540" s="19"/>
    </row>
    <row r="4541" spans="2:2" x14ac:dyDescent="0.25">
      <c r="B4541" s="19"/>
    </row>
    <row r="4542" spans="2:2" x14ac:dyDescent="0.25">
      <c r="B4542" s="19"/>
    </row>
    <row r="4543" spans="2:2" x14ac:dyDescent="0.25">
      <c r="B4543" s="19"/>
    </row>
    <row r="4544" spans="2:2" x14ac:dyDescent="0.25">
      <c r="B4544" s="19"/>
    </row>
    <row r="4545" spans="2:2" x14ac:dyDescent="0.25">
      <c r="B4545" s="19"/>
    </row>
    <row r="4546" spans="2:2" x14ac:dyDescent="0.25">
      <c r="B4546" s="19"/>
    </row>
    <row r="4547" spans="2:2" x14ac:dyDescent="0.25">
      <c r="B4547" s="19"/>
    </row>
    <row r="4548" spans="2:2" x14ac:dyDescent="0.25">
      <c r="B4548" s="19"/>
    </row>
    <row r="4549" spans="2:2" x14ac:dyDescent="0.25">
      <c r="B4549" s="19"/>
    </row>
    <row r="4550" spans="2:2" x14ac:dyDescent="0.25">
      <c r="B4550" s="19"/>
    </row>
    <row r="4551" spans="2:2" x14ac:dyDescent="0.25">
      <c r="B4551" s="19"/>
    </row>
    <row r="4552" spans="2:2" x14ac:dyDescent="0.25">
      <c r="B4552" s="19"/>
    </row>
    <row r="4553" spans="2:2" x14ac:dyDescent="0.25">
      <c r="B4553" s="19"/>
    </row>
    <row r="4554" spans="2:2" x14ac:dyDescent="0.25">
      <c r="B4554" s="19"/>
    </row>
    <row r="4555" spans="2:2" x14ac:dyDescent="0.25">
      <c r="B4555" s="19"/>
    </row>
    <row r="4556" spans="2:2" x14ac:dyDescent="0.25">
      <c r="B4556" s="19"/>
    </row>
    <row r="4557" spans="2:2" x14ac:dyDescent="0.25">
      <c r="B4557" s="19"/>
    </row>
    <row r="4558" spans="2:2" x14ac:dyDescent="0.25">
      <c r="B4558" s="19"/>
    </row>
    <row r="4559" spans="2:2" x14ac:dyDescent="0.25">
      <c r="B4559" s="19"/>
    </row>
    <row r="4560" spans="2:2" x14ac:dyDescent="0.25">
      <c r="B4560" s="19"/>
    </row>
    <row r="4561" spans="2:2" x14ac:dyDescent="0.25">
      <c r="B4561" s="19"/>
    </row>
    <row r="4562" spans="2:2" x14ac:dyDescent="0.25">
      <c r="B4562" s="19"/>
    </row>
    <row r="4563" spans="2:2" x14ac:dyDescent="0.25">
      <c r="B4563" s="19"/>
    </row>
    <row r="4564" spans="2:2" x14ac:dyDescent="0.25">
      <c r="B4564" s="19"/>
    </row>
    <row r="4565" spans="2:2" x14ac:dyDescent="0.25">
      <c r="B4565" s="19"/>
    </row>
    <row r="4566" spans="2:2" x14ac:dyDescent="0.25">
      <c r="B4566" s="19"/>
    </row>
    <row r="4567" spans="2:2" x14ac:dyDescent="0.25">
      <c r="B4567" s="19"/>
    </row>
    <row r="4568" spans="2:2" x14ac:dyDescent="0.25">
      <c r="B4568" s="19"/>
    </row>
    <row r="4569" spans="2:2" x14ac:dyDescent="0.25">
      <c r="B4569" s="19"/>
    </row>
    <row r="4570" spans="2:2" x14ac:dyDescent="0.25">
      <c r="B4570" s="19"/>
    </row>
    <row r="4571" spans="2:2" x14ac:dyDescent="0.25">
      <c r="B4571" s="19"/>
    </row>
    <row r="4572" spans="2:2" x14ac:dyDescent="0.25">
      <c r="B4572" s="19"/>
    </row>
    <row r="4573" spans="2:2" x14ac:dyDescent="0.25">
      <c r="B4573" s="19"/>
    </row>
    <row r="4574" spans="2:2" x14ac:dyDescent="0.25">
      <c r="B4574" s="19"/>
    </row>
    <row r="4575" spans="2:2" x14ac:dyDescent="0.25">
      <c r="B4575" s="19"/>
    </row>
    <row r="4576" spans="2:2" x14ac:dyDescent="0.25">
      <c r="B4576" s="19"/>
    </row>
    <row r="4577" spans="2:2" x14ac:dyDescent="0.25">
      <c r="B4577" s="19"/>
    </row>
    <row r="4578" spans="2:2" x14ac:dyDescent="0.25">
      <c r="B4578" s="19"/>
    </row>
    <row r="4579" spans="2:2" x14ac:dyDescent="0.25">
      <c r="B4579" s="19"/>
    </row>
    <row r="4580" spans="2:2" x14ac:dyDescent="0.25">
      <c r="B4580" s="19"/>
    </row>
    <row r="4581" spans="2:2" x14ac:dyDescent="0.25">
      <c r="B4581" s="19"/>
    </row>
    <row r="4582" spans="2:2" x14ac:dyDescent="0.25">
      <c r="B4582" s="19"/>
    </row>
    <row r="4583" spans="2:2" x14ac:dyDescent="0.25">
      <c r="B4583" s="19"/>
    </row>
    <row r="4584" spans="2:2" x14ac:dyDescent="0.25">
      <c r="B4584" s="19"/>
    </row>
    <row r="4585" spans="2:2" x14ac:dyDescent="0.25">
      <c r="B4585" s="19"/>
    </row>
    <row r="4586" spans="2:2" x14ac:dyDescent="0.25">
      <c r="B4586" s="19"/>
    </row>
    <row r="4587" spans="2:2" x14ac:dyDescent="0.25">
      <c r="B4587" s="19"/>
    </row>
    <row r="4588" spans="2:2" x14ac:dyDescent="0.25">
      <c r="B4588" s="19"/>
    </row>
    <row r="4589" spans="2:2" x14ac:dyDescent="0.25">
      <c r="B4589" s="19"/>
    </row>
    <row r="4590" spans="2:2" x14ac:dyDescent="0.25">
      <c r="B4590" s="19"/>
    </row>
    <row r="4591" spans="2:2" x14ac:dyDescent="0.25">
      <c r="B4591" s="19"/>
    </row>
    <row r="4592" spans="2:2" x14ac:dyDescent="0.25">
      <c r="B4592" s="19"/>
    </row>
    <row r="4593" spans="2:2" x14ac:dyDescent="0.25">
      <c r="B4593" s="19"/>
    </row>
    <row r="4594" spans="2:2" x14ac:dyDescent="0.25">
      <c r="B4594" s="19"/>
    </row>
    <row r="4595" spans="2:2" x14ac:dyDescent="0.25">
      <c r="B4595" s="19"/>
    </row>
    <row r="4596" spans="2:2" x14ac:dyDescent="0.25">
      <c r="B4596" s="19"/>
    </row>
    <row r="4597" spans="2:2" x14ac:dyDescent="0.25">
      <c r="B4597" s="19"/>
    </row>
    <row r="4598" spans="2:2" x14ac:dyDescent="0.25">
      <c r="B4598" s="19"/>
    </row>
    <row r="4599" spans="2:2" x14ac:dyDescent="0.25">
      <c r="B4599" s="19"/>
    </row>
    <row r="4600" spans="2:2" x14ac:dyDescent="0.25">
      <c r="B4600" s="19"/>
    </row>
    <row r="4601" spans="2:2" x14ac:dyDescent="0.25">
      <c r="B4601" s="19"/>
    </row>
    <row r="4602" spans="2:2" x14ac:dyDescent="0.25">
      <c r="B4602" s="19"/>
    </row>
    <row r="4603" spans="2:2" x14ac:dyDescent="0.25">
      <c r="B4603" s="19"/>
    </row>
    <row r="4604" spans="2:2" x14ac:dyDescent="0.25">
      <c r="B4604" s="19"/>
    </row>
    <row r="4605" spans="2:2" x14ac:dyDescent="0.25">
      <c r="B4605" s="19"/>
    </row>
    <row r="4606" spans="2:2" x14ac:dyDescent="0.25">
      <c r="B4606" s="19"/>
    </row>
    <row r="4607" spans="2:2" x14ac:dyDescent="0.25">
      <c r="B4607" s="19"/>
    </row>
    <row r="4608" spans="2:2" x14ac:dyDescent="0.25">
      <c r="B4608" s="19"/>
    </row>
    <row r="4609" spans="2:2" x14ac:dyDescent="0.25">
      <c r="B4609" s="19"/>
    </row>
    <row r="4610" spans="2:2" x14ac:dyDescent="0.25">
      <c r="B4610" s="19"/>
    </row>
    <row r="4611" spans="2:2" x14ac:dyDescent="0.25">
      <c r="B4611" s="19"/>
    </row>
    <row r="4612" spans="2:2" x14ac:dyDescent="0.25">
      <c r="B4612" s="19"/>
    </row>
    <row r="4613" spans="2:2" x14ac:dyDescent="0.25">
      <c r="B4613" s="19"/>
    </row>
    <row r="4614" spans="2:2" x14ac:dyDescent="0.25">
      <c r="B4614" s="19"/>
    </row>
    <row r="4615" spans="2:2" x14ac:dyDescent="0.25">
      <c r="B4615" s="19"/>
    </row>
    <row r="4616" spans="2:2" x14ac:dyDescent="0.25">
      <c r="B4616" s="19"/>
    </row>
    <row r="4617" spans="2:2" x14ac:dyDescent="0.25">
      <c r="B4617" s="19"/>
    </row>
    <row r="4618" spans="2:2" x14ac:dyDescent="0.25">
      <c r="B4618" s="19"/>
    </row>
    <row r="4619" spans="2:2" x14ac:dyDescent="0.25">
      <c r="B4619" s="19"/>
    </row>
    <row r="4620" spans="2:2" x14ac:dyDescent="0.25">
      <c r="B4620" s="19"/>
    </row>
    <row r="4621" spans="2:2" x14ac:dyDescent="0.25">
      <c r="B4621" s="19"/>
    </row>
    <row r="4622" spans="2:2" x14ac:dyDescent="0.25">
      <c r="B4622" s="19"/>
    </row>
    <row r="4623" spans="2:2" x14ac:dyDescent="0.25">
      <c r="B4623" s="19"/>
    </row>
    <row r="4624" spans="2:2" x14ac:dyDescent="0.25">
      <c r="B4624" s="19"/>
    </row>
    <row r="4625" spans="2:2" x14ac:dyDescent="0.25">
      <c r="B4625" s="19"/>
    </row>
    <row r="4626" spans="2:2" x14ac:dyDescent="0.25">
      <c r="B4626" s="19"/>
    </row>
    <row r="4627" spans="2:2" x14ac:dyDescent="0.25">
      <c r="B4627" s="19"/>
    </row>
    <row r="4628" spans="2:2" x14ac:dyDescent="0.25">
      <c r="B4628" s="19"/>
    </row>
    <row r="4629" spans="2:2" x14ac:dyDescent="0.25">
      <c r="B4629" s="19"/>
    </row>
    <row r="4630" spans="2:2" x14ac:dyDescent="0.25">
      <c r="B4630" s="19"/>
    </row>
    <row r="4631" spans="2:2" x14ac:dyDescent="0.25">
      <c r="B4631" s="19"/>
    </row>
    <row r="4632" spans="2:2" x14ac:dyDescent="0.25">
      <c r="B4632" s="19"/>
    </row>
    <row r="4633" spans="2:2" x14ac:dyDescent="0.25">
      <c r="B4633" s="19"/>
    </row>
    <row r="4634" spans="2:2" x14ac:dyDescent="0.25">
      <c r="B4634" s="19"/>
    </row>
    <row r="4635" spans="2:2" x14ac:dyDescent="0.25">
      <c r="B4635" s="19"/>
    </row>
    <row r="4636" spans="2:2" x14ac:dyDescent="0.25">
      <c r="B4636" s="19"/>
    </row>
    <row r="4637" spans="2:2" x14ac:dyDescent="0.25">
      <c r="B4637" s="19"/>
    </row>
    <row r="4638" spans="2:2" x14ac:dyDescent="0.25">
      <c r="B4638" s="19"/>
    </row>
    <row r="4639" spans="2:2" x14ac:dyDescent="0.25">
      <c r="B4639" s="19"/>
    </row>
    <row r="4640" spans="2:2" x14ac:dyDescent="0.25">
      <c r="B4640" s="19"/>
    </row>
    <row r="4641" spans="2:2" x14ac:dyDescent="0.25">
      <c r="B4641" s="19"/>
    </row>
    <row r="4642" spans="2:2" x14ac:dyDescent="0.25">
      <c r="B4642" s="19"/>
    </row>
    <row r="4643" spans="2:2" x14ac:dyDescent="0.25">
      <c r="B4643" s="19"/>
    </row>
    <row r="4644" spans="2:2" x14ac:dyDescent="0.25">
      <c r="B4644" s="19"/>
    </row>
    <row r="4645" spans="2:2" x14ac:dyDescent="0.25">
      <c r="B4645" s="19"/>
    </row>
    <row r="4646" spans="2:2" x14ac:dyDescent="0.25">
      <c r="B4646" s="19"/>
    </row>
    <row r="4647" spans="2:2" x14ac:dyDescent="0.25">
      <c r="B4647" s="19"/>
    </row>
    <row r="4648" spans="2:2" x14ac:dyDescent="0.25">
      <c r="B4648" s="19"/>
    </row>
    <row r="4649" spans="2:2" x14ac:dyDescent="0.25">
      <c r="B4649" s="19"/>
    </row>
    <row r="4650" spans="2:2" x14ac:dyDescent="0.25">
      <c r="B4650" s="19"/>
    </row>
    <row r="4651" spans="2:2" x14ac:dyDescent="0.25">
      <c r="B4651" s="19"/>
    </row>
    <row r="4652" spans="2:2" x14ac:dyDescent="0.25">
      <c r="B4652" s="19"/>
    </row>
    <row r="4653" spans="2:2" x14ac:dyDescent="0.25">
      <c r="B4653" s="19"/>
    </row>
    <row r="4654" spans="2:2" x14ac:dyDescent="0.25">
      <c r="B4654" s="19"/>
    </row>
    <row r="4655" spans="2:2" x14ac:dyDescent="0.25">
      <c r="B4655" s="19"/>
    </row>
    <row r="4656" spans="2:2" x14ac:dyDescent="0.25">
      <c r="B4656" s="19"/>
    </row>
    <row r="4657" spans="2:2" x14ac:dyDescent="0.25">
      <c r="B4657" s="19"/>
    </row>
    <row r="4658" spans="2:2" x14ac:dyDescent="0.25">
      <c r="B4658" s="19"/>
    </row>
    <row r="4659" spans="2:2" x14ac:dyDescent="0.25">
      <c r="B4659" s="19"/>
    </row>
    <row r="4660" spans="2:2" x14ac:dyDescent="0.25">
      <c r="B4660" s="19"/>
    </row>
    <row r="4661" spans="2:2" x14ac:dyDescent="0.25">
      <c r="B4661" s="19"/>
    </row>
    <row r="4662" spans="2:2" x14ac:dyDescent="0.25">
      <c r="B4662" s="19"/>
    </row>
    <row r="4663" spans="2:2" x14ac:dyDescent="0.25">
      <c r="B4663" s="19"/>
    </row>
    <row r="4664" spans="2:2" x14ac:dyDescent="0.25">
      <c r="B4664" s="19"/>
    </row>
    <row r="4665" spans="2:2" x14ac:dyDescent="0.25">
      <c r="B4665" s="19"/>
    </row>
    <row r="4666" spans="2:2" x14ac:dyDescent="0.25">
      <c r="B4666" s="19"/>
    </row>
    <row r="4667" spans="2:2" x14ac:dyDescent="0.25">
      <c r="B4667" s="19"/>
    </row>
    <row r="4668" spans="2:2" x14ac:dyDescent="0.25">
      <c r="B4668" s="19"/>
    </row>
    <row r="4669" spans="2:2" x14ac:dyDescent="0.25">
      <c r="B4669" s="19"/>
    </row>
    <row r="4670" spans="2:2" x14ac:dyDescent="0.25">
      <c r="B4670" s="19"/>
    </row>
    <row r="4671" spans="2:2" x14ac:dyDescent="0.25">
      <c r="B4671" s="19"/>
    </row>
    <row r="4672" spans="2:2" x14ac:dyDescent="0.25">
      <c r="B4672" s="19"/>
    </row>
    <row r="4673" spans="2:2" x14ac:dyDescent="0.25">
      <c r="B4673" s="19"/>
    </row>
    <row r="4674" spans="2:2" x14ac:dyDescent="0.25">
      <c r="B4674" s="19"/>
    </row>
    <row r="4675" spans="2:2" x14ac:dyDescent="0.25">
      <c r="B4675" s="19"/>
    </row>
    <row r="4676" spans="2:2" x14ac:dyDescent="0.25">
      <c r="B4676" s="19"/>
    </row>
    <row r="4677" spans="2:2" x14ac:dyDescent="0.25">
      <c r="B4677" s="19"/>
    </row>
    <row r="4678" spans="2:2" x14ac:dyDescent="0.25">
      <c r="B4678" s="19"/>
    </row>
    <row r="4679" spans="2:2" x14ac:dyDescent="0.25">
      <c r="B4679" s="19"/>
    </row>
    <row r="4680" spans="2:2" x14ac:dyDescent="0.25">
      <c r="B4680" s="19"/>
    </row>
    <row r="4681" spans="2:2" x14ac:dyDescent="0.25">
      <c r="B4681" s="19"/>
    </row>
    <row r="4682" spans="2:2" x14ac:dyDescent="0.25">
      <c r="B4682" s="19"/>
    </row>
    <row r="4683" spans="2:2" x14ac:dyDescent="0.25">
      <c r="B4683" s="19"/>
    </row>
    <row r="4684" spans="2:2" x14ac:dyDescent="0.25">
      <c r="B4684" s="19"/>
    </row>
    <row r="4685" spans="2:2" x14ac:dyDescent="0.25">
      <c r="B4685" s="19"/>
    </row>
    <row r="4686" spans="2:2" x14ac:dyDescent="0.25">
      <c r="B4686" s="19"/>
    </row>
    <row r="4687" spans="2:2" x14ac:dyDescent="0.25">
      <c r="B4687" s="19"/>
    </row>
    <row r="4688" spans="2:2" x14ac:dyDescent="0.25">
      <c r="B4688" s="19"/>
    </row>
    <row r="4689" spans="2:2" x14ac:dyDescent="0.25">
      <c r="B4689" s="19"/>
    </row>
    <row r="4690" spans="2:2" x14ac:dyDescent="0.25">
      <c r="B4690" s="19"/>
    </row>
    <row r="4691" spans="2:2" x14ac:dyDescent="0.25">
      <c r="B4691" s="19"/>
    </row>
    <row r="4692" spans="2:2" x14ac:dyDescent="0.25">
      <c r="B4692" s="19"/>
    </row>
    <row r="4693" spans="2:2" x14ac:dyDescent="0.25">
      <c r="B4693" s="19"/>
    </row>
    <row r="4694" spans="2:2" x14ac:dyDescent="0.25">
      <c r="B4694" s="19"/>
    </row>
    <row r="4695" spans="2:2" x14ac:dyDescent="0.25">
      <c r="B4695" s="19"/>
    </row>
    <row r="4696" spans="2:2" x14ac:dyDescent="0.25">
      <c r="B4696" s="19"/>
    </row>
    <row r="4697" spans="2:2" x14ac:dyDescent="0.25">
      <c r="B4697" s="19"/>
    </row>
    <row r="4698" spans="2:2" x14ac:dyDescent="0.25">
      <c r="B4698" s="19"/>
    </row>
    <row r="4699" spans="2:2" x14ac:dyDescent="0.25">
      <c r="B4699" s="19"/>
    </row>
    <row r="4700" spans="2:2" x14ac:dyDescent="0.25">
      <c r="B4700" s="19"/>
    </row>
    <row r="4701" spans="2:2" x14ac:dyDescent="0.25">
      <c r="B4701" s="19"/>
    </row>
    <row r="4702" spans="2:2" x14ac:dyDescent="0.25">
      <c r="B4702" s="19"/>
    </row>
    <row r="4703" spans="2:2" x14ac:dyDescent="0.25">
      <c r="B4703" s="19"/>
    </row>
    <row r="4704" spans="2:2" x14ac:dyDescent="0.25">
      <c r="B4704" s="19"/>
    </row>
    <row r="4705" spans="2:2" x14ac:dyDescent="0.25">
      <c r="B4705" s="19"/>
    </row>
    <row r="4706" spans="2:2" x14ac:dyDescent="0.25">
      <c r="B4706" s="19"/>
    </row>
    <row r="4707" spans="2:2" x14ac:dyDescent="0.25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5"/>
  <sheetViews>
    <sheetView workbookViewId="0">
      <selection activeCell="G2" sqref="G2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8" width="1.109375" customWidth="1"/>
    <col min="9" max="14" width="10.6640625" bestFit="1" customWidth="1"/>
    <col min="15" max="15" width="29.33203125" bestFit="1" customWidth="1"/>
    <col min="16" max="16" width="0.5546875" customWidth="1"/>
    <col min="17" max="21" width="9.5546875" bestFit="1" customWidth="1"/>
    <col min="22" max="22" width="10.33203125" bestFit="1" customWidth="1"/>
    <col min="23" max="23" width="29.33203125" bestFit="1" customWidth="1"/>
    <col min="24" max="24" width="7.33203125" bestFit="1" customWidth="1"/>
  </cols>
  <sheetData>
    <row r="1" spans="1:23" x14ac:dyDescent="0.25">
      <c r="A1" t="s">
        <v>249</v>
      </c>
      <c r="B1" t="s">
        <v>250</v>
      </c>
      <c r="C1" t="s">
        <v>251</v>
      </c>
      <c r="D1" t="s">
        <v>252</v>
      </c>
      <c r="E1" t="s">
        <v>253</v>
      </c>
      <c r="F1" t="s">
        <v>254</v>
      </c>
      <c r="G1" t="s">
        <v>255</v>
      </c>
      <c r="I1" t="s">
        <v>250</v>
      </c>
      <c r="J1" t="s">
        <v>251</v>
      </c>
      <c r="K1" t="s">
        <v>252</v>
      </c>
      <c r="L1" t="s">
        <v>253</v>
      </c>
      <c r="M1" t="s">
        <v>254</v>
      </c>
      <c r="N1" t="s">
        <v>255</v>
      </c>
      <c r="O1" t="s">
        <v>256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</row>
    <row r="2" spans="1:23" x14ac:dyDescent="0.25">
      <c r="A2">
        <v>1</v>
      </c>
      <c r="B2" s="165">
        <v>80395</v>
      </c>
      <c r="C2" s="165">
        <v>12348</v>
      </c>
      <c r="D2" s="165">
        <v>13373</v>
      </c>
      <c r="E2" s="165">
        <v>25280</v>
      </c>
      <c r="F2" s="165">
        <v>1991</v>
      </c>
      <c r="G2" s="165" t="e">
        <f>#REF!</f>
        <v>#REF!</v>
      </c>
      <c r="I2" s="165">
        <f t="shared" ref="I2:N2" si="0">B2</f>
        <v>80395</v>
      </c>
      <c r="J2" s="165">
        <f t="shared" si="0"/>
        <v>12348</v>
      </c>
      <c r="K2" s="165">
        <f t="shared" si="0"/>
        <v>13373</v>
      </c>
      <c r="L2" s="165">
        <f t="shared" si="0"/>
        <v>25280</v>
      </c>
      <c r="M2" s="165">
        <f t="shared" si="0"/>
        <v>1991</v>
      </c>
      <c r="N2" s="165" t="e">
        <f t="shared" si="0"/>
        <v>#REF!</v>
      </c>
      <c r="O2" s="166">
        <f>AVERAGE(I2:M2)</f>
        <v>26677.4</v>
      </c>
      <c r="Q2" s="167">
        <f t="shared" ref="Q2:Q18" si="1">I2/I$55</f>
        <v>3.2871226729076816E-2</v>
      </c>
      <c r="R2" s="167">
        <f t="shared" ref="R2:W17" si="2">J2/J$55</f>
        <v>6.0062367969071868E-3</v>
      </c>
      <c r="S2" s="167">
        <f t="shared" si="2"/>
        <v>5.8427129271934964E-3</v>
      </c>
      <c r="T2" s="167">
        <f t="shared" si="2"/>
        <v>1.2209811704225039E-2</v>
      </c>
      <c r="U2" s="167">
        <f t="shared" si="2"/>
        <v>7.8349859867478161E-4</v>
      </c>
      <c r="V2" s="167" t="e">
        <f t="shared" si="2"/>
        <v>#REF!</v>
      </c>
      <c r="W2" s="167">
        <f t="shared" si="2"/>
        <v>1.1698474445682523E-2</v>
      </c>
    </row>
    <row r="3" spans="1:23" x14ac:dyDescent="0.25">
      <c r="A3">
        <v>2</v>
      </c>
      <c r="B3" s="165">
        <v>59425</v>
      </c>
      <c r="C3" s="165">
        <v>19225</v>
      </c>
      <c r="D3" s="165">
        <v>11647</v>
      </c>
      <c r="E3" s="165">
        <v>15239</v>
      </c>
      <c r="F3" s="165">
        <v>22957</v>
      </c>
      <c r="G3" s="165" t="e">
        <f>#REF!</f>
        <v>#REF!</v>
      </c>
      <c r="I3" s="165">
        <f>I2+B3</f>
        <v>139820</v>
      </c>
      <c r="J3" s="165">
        <f t="shared" ref="J3:N18" si="3">J2+C3</f>
        <v>31573</v>
      </c>
      <c r="K3" s="165">
        <f t="shared" si="3"/>
        <v>25020</v>
      </c>
      <c r="L3" s="165">
        <f t="shared" si="3"/>
        <v>40519</v>
      </c>
      <c r="M3" s="165">
        <f>M2+F3</f>
        <v>24948</v>
      </c>
      <c r="N3" s="165" t="e">
        <f>N2+G3</f>
        <v>#REF!</v>
      </c>
      <c r="O3" s="166">
        <f t="shared" ref="O3:O10" si="4">AVERAGE(I3:M3)</f>
        <v>52376</v>
      </c>
      <c r="Q3" s="167">
        <f t="shared" si="1"/>
        <v>5.7168417454562109E-2</v>
      </c>
      <c r="R3" s="167">
        <f t="shared" si="2"/>
        <v>1.5357540847809411E-2</v>
      </c>
      <c r="S3" s="167">
        <f t="shared" si="2"/>
        <v>1.0931330100828631E-2</v>
      </c>
      <c r="T3" s="167">
        <f t="shared" si="2"/>
        <v>1.9569990523872403E-2</v>
      </c>
      <c r="U3" s="167">
        <f t="shared" si="2"/>
        <v>9.8175404519027874E-3</v>
      </c>
      <c r="V3" s="167" t="e">
        <f t="shared" si="2"/>
        <v>#REF!</v>
      </c>
      <c r="W3" s="167">
        <f t="shared" si="2"/>
        <v>2.2967729147783059E-2</v>
      </c>
    </row>
    <row r="4" spans="1:23" x14ac:dyDescent="0.25">
      <c r="A4">
        <v>3</v>
      </c>
      <c r="B4" s="165">
        <v>91522</v>
      </c>
      <c r="C4" s="165">
        <v>59935</v>
      </c>
      <c r="D4" s="165">
        <v>9954</v>
      </c>
      <c r="E4" s="165">
        <v>65020</v>
      </c>
      <c r="F4" s="165">
        <v>26383</v>
      </c>
      <c r="G4" s="165" t="e">
        <f>#REF!</f>
        <v>#REF!</v>
      </c>
      <c r="I4" s="165">
        <f t="shared" ref="I4:I10" si="5">I3+B4</f>
        <v>231342</v>
      </c>
      <c r="J4" s="165">
        <f t="shared" si="3"/>
        <v>91508</v>
      </c>
      <c r="K4" s="165">
        <f t="shared" si="3"/>
        <v>34974</v>
      </c>
      <c r="L4" s="165">
        <f t="shared" si="3"/>
        <v>105539</v>
      </c>
      <c r="M4" s="165">
        <f t="shared" si="3"/>
        <v>51331</v>
      </c>
      <c r="N4" s="165" t="e">
        <f t="shared" si="3"/>
        <v>#REF!</v>
      </c>
      <c r="O4" s="166">
        <f t="shared" si="4"/>
        <v>102938.8</v>
      </c>
      <c r="Q4" s="167">
        <f t="shared" si="1"/>
        <v>9.4589157708291419E-2</v>
      </c>
      <c r="R4" s="167">
        <f t="shared" si="2"/>
        <v>4.4510748041090287E-2</v>
      </c>
      <c r="S4" s="167">
        <f t="shared" si="2"/>
        <v>1.5280269342381317E-2</v>
      </c>
      <c r="T4" s="167">
        <f t="shared" si="2"/>
        <v>5.0973548949849935E-2</v>
      </c>
      <c r="U4" s="167">
        <f t="shared" si="2"/>
        <v>2.0199782304658569E-2</v>
      </c>
      <c r="V4" s="167" t="e">
        <f t="shared" si="2"/>
        <v>#REF!</v>
      </c>
      <c r="W4" s="167">
        <f t="shared" si="2"/>
        <v>4.5140340560520291E-2</v>
      </c>
    </row>
    <row r="5" spans="1:23" ht="13.95" customHeight="1" x14ac:dyDescent="0.25">
      <c r="A5">
        <v>4</v>
      </c>
      <c r="B5" s="165">
        <v>35394</v>
      </c>
      <c r="C5" s="165">
        <v>47615</v>
      </c>
      <c r="D5" s="165">
        <v>13895</v>
      </c>
      <c r="E5" s="165">
        <v>82788</v>
      </c>
      <c r="F5" s="165">
        <v>30474</v>
      </c>
      <c r="G5" s="165" t="e">
        <f>#REF!</f>
        <v>#REF!</v>
      </c>
      <c r="I5" s="165">
        <f t="shared" si="5"/>
        <v>266736</v>
      </c>
      <c r="J5" s="165">
        <f t="shared" si="3"/>
        <v>139123</v>
      </c>
      <c r="K5" s="165">
        <f t="shared" si="3"/>
        <v>48869</v>
      </c>
      <c r="L5" s="165">
        <f t="shared" si="3"/>
        <v>188327</v>
      </c>
      <c r="M5" s="165">
        <f t="shared" si="3"/>
        <v>81805</v>
      </c>
      <c r="N5" s="165" t="e">
        <f t="shared" si="3"/>
        <v>#REF!</v>
      </c>
      <c r="O5" s="166">
        <f t="shared" si="4"/>
        <v>144972</v>
      </c>
      <c r="Q5" s="167">
        <f t="shared" si="1"/>
        <v>0.10906075667401</v>
      </c>
      <c r="R5" s="167">
        <f t="shared" si="2"/>
        <v>6.7671338022037467E-2</v>
      </c>
      <c r="S5" s="167">
        <f t="shared" si="2"/>
        <v>2.1351045991102893E-2</v>
      </c>
      <c r="T5" s="167">
        <f t="shared" si="2"/>
        <v>9.0958750348955258E-2</v>
      </c>
      <c r="U5" s="167">
        <f t="shared" si="2"/>
        <v>3.2191915050020344E-2</v>
      </c>
      <c r="V5" s="167" t="e">
        <f t="shared" si="2"/>
        <v>#REF!</v>
      </c>
      <c r="W5" s="167">
        <f t="shared" si="2"/>
        <v>6.3572583435397997E-2</v>
      </c>
    </row>
    <row r="6" spans="1:23" x14ac:dyDescent="0.25">
      <c r="A6">
        <v>5</v>
      </c>
      <c r="B6" s="165">
        <v>40154</v>
      </c>
      <c r="C6" s="165">
        <v>94731</v>
      </c>
      <c r="D6" s="165">
        <v>30810</v>
      </c>
      <c r="E6" s="165">
        <v>101589</v>
      </c>
      <c r="F6" s="165">
        <v>79198</v>
      </c>
      <c r="G6" s="165" t="e">
        <f>#REF!</f>
        <v>#REF!</v>
      </c>
      <c r="I6" s="165">
        <f t="shared" si="5"/>
        <v>306890</v>
      </c>
      <c r="J6" s="165">
        <f t="shared" si="3"/>
        <v>233854</v>
      </c>
      <c r="K6" s="165">
        <f t="shared" si="3"/>
        <v>79679</v>
      </c>
      <c r="L6" s="165">
        <f t="shared" si="3"/>
        <v>289916</v>
      </c>
      <c r="M6" s="165">
        <f t="shared" si="3"/>
        <v>161003</v>
      </c>
      <c r="N6" s="165" t="e">
        <f t="shared" si="3"/>
        <v>#REF!</v>
      </c>
      <c r="O6" s="166">
        <f t="shared" si="4"/>
        <v>214268.4</v>
      </c>
      <c r="Q6" s="167">
        <f t="shared" si="1"/>
        <v>0.12547858412695298</v>
      </c>
      <c r="R6" s="167">
        <f t="shared" si="2"/>
        <v>0.1137497975302829</v>
      </c>
      <c r="S6" s="167">
        <f t="shared" si="2"/>
        <v>3.4812048405432637E-2</v>
      </c>
      <c r="T6" s="167">
        <f t="shared" si="2"/>
        <v>0.14002451622002005</v>
      </c>
      <c r="U6" s="167">
        <f t="shared" si="2"/>
        <v>6.3357923095146082E-2</v>
      </c>
      <c r="V6" s="167" t="e">
        <f t="shared" si="2"/>
        <v>#REF!</v>
      </c>
      <c r="W6" s="167">
        <f t="shared" si="2"/>
        <v>9.3960183597999833E-2</v>
      </c>
    </row>
    <row r="7" spans="1:23" x14ac:dyDescent="0.25">
      <c r="A7">
        <v>6</v>
      </c>
      <c r="B7" s="165">
        <v>37596</v>
      </c>
      <c r="C7" s="165">
        <v>67834</v>
      </c>
      <c r="D7" s="165">
        <v>73548</v>
      </c>
      <c r="E7" s="165">
        <v>28080</v>
      </c>
      <c r="F7" s="165">
        <v>61090</v>
      </c>
      <c r="G7" s="165" t="e">
        <f>#REF!</f>
        <v>#REF!</v>
      </c>
      <c r="I7" s="165">
        <f t="shared" si="5"/>
        <v>344486</v>
      </c>
      <c r="J7" s="165">
        <f t="shared" si="3"/>
        <v>301688</v>
      </c>
      <c r="K7" s="165">
        <f t="shared" si="3"/>
        <v>153227</v>
      </c>
      <c r="L7" s="165">
        <f t="shared" si="3"/>
        <v>317996</v>
      </c>
      <c r="M7" s="165">
        <f t="shared" si="3"/>
        <v>222093</v>
      </c>
      <c r="N7" s="165" t="e">
        <f t="shared" si="3"/>
        <v>#REF!</v>
      </c>
      <c r="O7" s="166">
        <f t="shared" si="4"/>
        <v>267898</v>
      </c>
      <c r="Q7" s="167">
        <f t="shared" si="1"/>
        <v>0.14085051820377831</v>
      </c>
      <c r="R7" s="167">
        <f t="shared" si="2"/>
        <v>0.14674518681449103</v>
      </c>
      <c r="S7" s="167">
        <f t="shared" si="2"/>
        <v>6.6945440342113055E-2</v>
      </c>
      <c r="T7" s="167">
        <f t="shared" si="2"/>
        <v>0.15358668048642191</v>
      </c>
      <c r="U7" s="167">
        <f t="shared" si="2"/>
        <v>8.7398068445744978E-2</v>
      </c>
      <c r="V7" s="167" t="e">
        <f t="shared" si="2"/>
        <v>#REF!</v>
      </c>
      <c r="W7" s="167">
        <f t="shared" si="2"/>
        <v>0.11747763676555648</v>
      </c>
    </row>
    <row r="8" spans="1:23" x14ac:dyDescent="0.25">
      <c r="A8">
        <v>7</v>
      </c>
      <c r="B8" s="165">
        <v>41963</v>
      </c>
      <c r="C8" s="165">
        <v>43331</v>
      </c>
      <c r="D8" s="165">
        <v>63938</v>
      </c>
      <c r="E8" s="165">
        <v>86196</v>
      </c>
      <c r="F8" s="165">
        <v>95227</v>
      </c>
      <c r="G8" s="165" t="e">
        <f>#REF!</f>
        <v>#REF!</v>
      </c>
      <c r="I8" s="165">
        <f t="shared" si="5"/>
        <v>386449</v>
      </c>
      <c r="J8" s="165">
        <f t="shared" si="3"/>
        <v>345019</v>
      </c>
      <c r="K8" s="165">
        <f t="shared" si="3"/>
        <v>217165</v>
      </c>
      <c r="L8" s="165">
        <f t="shared" si="3"/>
        <v>404192</v>
      </c>
      <c r="M8" s="165">
        <f t="shared" si="3"/>
        <v>317320</v>
      </c>
      <c r="N8" s="165" t="e">
        <f t="shared" si="3"/>
        <v>#REF!</v>
      </c>
      <c r="O8" s="166">
        <f t="shared" si="4"/>
        <v>334029</v>
      </c>
      <c r="Q8" s="167">
        <f t="shared" si="1"/>
        <v>0.15800799425617273</v>
      </c>
      <c r="R8" s="167">
        <f t="shared" si="2"/>
        <v>0.1678219803556949</v>
      </c>
      <c r="S8" s="167">
        <f t="shared" si="2"/>
        <v>9.4880187903535168E-2</v>
      </c>
      <c r="T8" s="167">
        <f t="shared" si="2"/>
        <v>0.19521788814691959</v>
      </c>
      <c r="U8" s="167">
        <f t="shared" si="2"/>
        <v>0.12487181081440567</v>
      </c>
      <c r="V8" s="167" t="e">
        <f t="shared" si="2"/>
        <v>#REF!</v>
      </c>
      <c r="W8" s="167">
        <f t="shared" si="2"/>
        <v>0.14647715746725271</v>
      </c>
    </row>
    <row r="9" spans="1:23" x14ac:dyDescent="0.25">
      <c r="A9">
        <v>8</v>
      </c>
      <c r="B9" s="165">
        <v>99446</v>
      </c>
      <c r="C9" s="165">
        <v>58395</v>
      </c>
      <c r="D9" s="165">
        <v>87337</v>
      </c>
      <c r="E9" s="165">
        <v>75157</v>
      </c>
      <c r="F9" s="165">
        <v>72315</v>
      </c>
      <c r="G9" s="165" t="e">
        <f>#REF!</f>
        <v>#REF!</v>
      </c>
      <c r="I9" s="165">
        <f t="shared" si="5"/>
        <v>485895</v>
      </c>
      <c r="J9" s="165">
        <f t="shared" si="3"/>
        <v>403414</v>
      </c>
      <c r="K9" s="165">
        <f t="shared" si="3"/>
        <v>304502</v>
      </c>
      <c r="L9" s="165">
        <f t="shared" si="3"/>
        <v>479349</v>
      </c>
      <c r="M9" s="165">
        <f t="shared" si="3"/>
        <v>389635</v>
      </c>
      <c r="N9" s="165" t="e">
        <f>N8+G9</f>
        <v>#REF!</v>
      </c>
      <c r="O9" s="166">
        <f t="shared" si="4"/>
        <v>412559</v>
      </c>
      <c r="Q9" s="167">
        <f t="shared" si="1"/>
        <v>0.19866863252098738</v>
      </c>
      <c r="R9" s="167">
        <f t="shared" si="2"/>
        <v>0.19622611039743407</v>
      </c>
      <c r="S9" s="167">
        <f t="shared" si="2"/>
        <v>0.13303804469874181</v>
      </c>
      <c r="T9" s="167">
        <f t="shared" si="2"/>
        <v>0.23151744583103515</v>
      </c>
      <c r="U9" s="167">
        <f t="shared" si="2"/>
        <v>0.15332921973613686</v>
      </c>
      <c r="V9" s="167" t="e">
        <f t="shared" si="2"/>
        <v>#REF!</v>
      </c>
      <c r="W9" s="167">
        <f t="shared" si="2"/>
        <v>0.18091384163510446</v>
      </c>
    </row>
    <row r="10" spans="1:23" x14ac:dyDescent="0.25">
      <c r="A10">
        <v>9</v>
      </c>
      <c r="B10" s="165">
        <v>14206</v>
      </c>
      <c r="C10" s="165">
        <v>119520</v>
      </c>
      <c r="D10" s="165">
        <v>121915</v>
      </c>
      <c r="E10" s="165">
        <v>67688</v>
      </c>
      <c r="F10" s="165">
        <v>129626</v>
      </c>
      <c r="G10" s="165" t="e">
        <f>#REF!</f>
        <v>#REF!</v>
      </c>
      <c r="I10" s="165">
        <f t="shared" si="5"/>
        <v>500101</v>
      </c>
      <c r="J10" s="165">
        <f t="shared" si="3"/>
        <v>522934</v>
      </c>
      <c r="K10" s="165">
        <f t="shared" si="3"/>
        <v>426417</v>
      </c>
      <c r="L10" s="165">
        <f t="shared" si="3"/>
        <v>547037</v>
      </c>
      <c r="M10" s="165">
        <f t="shared" si="3"/>
        <v>519261</v>
      </c>
      <c r="N10" s="165" t="e">
        <f t="shared" si="3"/>
        <v>#REF!</v>
      </c>
      <c r="O10" s="166">
        <f t="shared" si="4"/>
        <v>503150</v>
      </c>
      <c r="Q10" s="167">
        <f t="shared" si="1"/>
        <v>0.20447706148937178</v>
      </c>
      <c r="R10" s="167">
        <f t="shared" si="2"/>
        <v>0.25436227997682725</v>
      </c>
      <c r="S10" s="167">
        <f t="shared" si="2"/>
        <v>0.18630315697861879</v>
      </c>
      <c r="T10" s="167">
        <f t="shared" si="2"/>
        <v>0.26420960305554403</v>
      </c>
      <c r="U10" s="167">
        <f t="shared" si="2"/>
        <v>0.20433966139953078</v>
      </c>
      <c r="V10" s="167" t="e">
        <f t="shared" si="2"/>
        <v>#REF!</v>
      </c>
      <c r="W10" s="167">
        <f t="shared" si="2"/>
        <v>0.22063947076346124</v>
      </c>
    </row>
    <row r="11" spans="1:23" x14ac:dyDescent="0.25">
      <c r="A11">
        <v>10</v>
      </c>
      <c r="B11" s="165">
        <v>35168</v>
      </c>
      <c r="C11" s="165">
        <v>94543</v>
      </c>
      <c r="D11" s="165">
        <v>32190</v>
      </c>
      <c r="E11" s="165">
        <v>122370</v>
      </c>
      <c r="F11" s="165">
        <v>130113</v>
      </c>
      <c r="G11" s="165" t="e">
        <f>#REF!</f>
        <v>#REF!</v>
      </c>
      <c r="I11" s="165">
        <f>I10+B11</f>
        <v>535269</v>
      </c>
      <c r="J11" s="165">
        <f t="shared" si="3"/>
        <v>617477</v>
      </c>
      <c r="K11" s="165">
        <f t="shared" si="3"/>
        <v>458607</v>
      </c>
      <c r="L11" s="165">
        <f t="shared" si="3"/>
        <v>669407</v>
      </c>
      <c r="M11" s="165">
        <f t="shared" si="3"/>
        <v>649374</v>
      </c>
      <c r="N11" s="165" t="e">
        <f t="shared" si="3"/>
        <v>#REF!</v>
      </c>
      <c r="O11" s="166">
        <f>AVERAGE(I11:M11)</f>
        <v>586026.80000000005</v>
      </c>
      <c r="Q11" s="167">
        <f t="shared" si="1"/>
        <v>0.21885625548910032</v>
      </c>
      <c r="R11" s="167">
        <f t="shared" si="2"/>
        <v>0.30034929370293645</v>
      </c>
      <c r="S11" s="167">
        <f t="shared" si="2"/>
        <v>0.20036708647285037</v>
      </c>
      <c r="T11" s="167">
        <f t="shared" si="2"/>
        <v>0.32331223985325042</v>
      </c>
      <c r="U11" s="167">
        <f t="shared" si="2"/>
        <v>0.2555417473710887</v>
      </c>
      <c r="V11" s="167" t="e">
        <f t="shared" si="2"/>
        <v>#REF!</v>
      </c>
      <c r="W11" s="167">
        <f>O11/O$55</f>
        <v>0.25698229753593316</v>
      </c>
    </row>
    <row r="12" spans="1:23" x14ac:dyDescent="0.25">
      <c r="A12">
        <v>11</v>
      </c>
      <c r="B12" s="165">
        <v>110055</v>
      </c>
      <c r="C12" s="165">
        <v>92137</v>
      </c>
      <c r="D12" s="165">
        <v>82559</v>
      </c>
      <c r="E12" s="165">
        <v>95033</v>
      </c>
      <c r="F12" s="165">
        <v>99709</v>
      </c>
      <c r="G12" s="165" t="e">
        <f>#REF!</f>
        <v>#REF!</v>
      </c>
      <c r="I12" s="165">
        <f>I11+B12</f>
        <v>645324</v>
      </c>
      <c r="J12" s="165">
        <f t="shared" si="3"/>
        <v>709614</v>
      </c>
      <c r="K12" s="165">
        <f t="shared" si="3"/>
        <v>541166</v>
      </c>
      <c r="L12" s="165">
        <f t="shared" si="3"/>
        <v>764440</v>
      </c>
      <c r="M12" s="165">
        <f t="shared" si="3"/>
        <v>749083</v>
      </c>
      <c r="N12" s="165" t="e">
        <f t="shared" si="3"/>
        <v>#REF!</v>
      </c>
      <c r="O12" s="166">
        <f>AVERAGE(I12:M12)</f>
        <v>681925.4</v>
      </c>
      <c r="Q12" s="167">
        <f t="shared" si="1"/>
        <v>0.26385461182554598</v>
      </c>
      <c r="R12" s="167">
        <f t="shared" si="2"/>
        <v>0.34516599598319536</v>
      </c>
      <c r="S12" s="167">
        <f t="shared" si="2"/>
        <v>0.23643741747981722</v>
      </c>
      <c r="T12" s="167">
        <f t="shared" si="2"/>
        <v>0.36921156879658973</v>
      </c>
      <c r="U12" s="167">
        <f t="shared" si="2"/>
        <v>0.29477924700708258</v>
      </c>
      <c r="V12" s="167" t="e">
        <f t="shared" si="2"/>
        <v>#REF!</v>
      </c>
      <c r="W12" s="167">
        <f t="shared" si="2"/>
        <v>0.29903539571929172</v>
      </c>
    </row>
    <row r="13" spans="1:23" x14ac:dyDescent="0.25">
      <c r="A13">
        <v>12</v>
      </c>
      <c r="B13" s="165">
        <v>59186</v>
      </c>
      <c r="C13" s="165">
        <v>21424</v>
      </c>
      <c r="D13" s="165">
        <v>152398</v>
      </c>
      <c r="E13" s="165">
        <v>74115</v>
      </c>
      <c r="F13" s="165">
        <v>116756</v>
      </c>
      <c r="G13" s="165" t="e">
        <f>#REF!</f>
        <v>#REF!</v>
      </c>
      <c r="I13" s="165">
        <f>I12+B13</f>
        <v>704510</v>
      </c>
      <c r="J13" s="165">
        <f t="shared" si="3"/>
        <v>731038</v>
      </c>
      <c r="K13" s="165">
        <f t="shared" si="3"/>
        <v>693564</v>
      </c>
      <c r="L13" s="165">
        <f t="shared" si="3"/>
        <v>838555</v>
      </c>
      <c r="M13" s="165">
        <f t="shared" si="3"/>
        <v>865839</v>
      </c>
      <c r="N13" s="165" t="e">
        <f t="shared" si="3"/>
        <v>#REF!</v>
      </c>
      <c r="O13" s="166">
        <f>AVERAGE(I13:M13)</f>
        <v>766701.2</v>
      </c>
      <c r="Q13" s="167">
        <f t="shared" si="1"/>
        <v>0.28805408225513912</v>
      </c>
      <c r="R13" s="167">
        <f t="shared" si="2"/>
        <v>0.35558692383685098</v>
      </c>
      <c r="S13" s="167">
        <f t="shared" si="2"/>
        <v>0.30302066467030814</v>
      </c>
      <c r="T13" s="167">
        <f t="shared" si="2"/>
        <v>0.40500785813435236</v>
      </c>
      <c r="U13" s="167">
        <f t="shared" si="2"/>
        <v>0.34072508446909805</v>
      </c>
      <c r="V13" s="167" t="e">
        <f t="shared" si="2"/>
        <v>#REF!</v>
      </c>
      <c r="W13" s="167">
        <f t="shared" si="2"/>
        <v>0.33621096492439756</v>
      </c>
    </row>
    <row r="14" spans="1:23" x14ac:dyDescent="0.25">
      <c r="A14">
        <v>13</v>
      </c>
      <c r="B14" s="165">
        <v>89518</v>
      </c>
      <c r="C14" s="165">
        <v>141714</v>
      </c>
      <c r="D14" s="165">
        <v>114071</v>
      </c>
      <c r="E14" s="165">
        <v>131989</v>
      </c>
      <c r="F14" s="165">
        <v>121188</v>
      </c>
      <c r="G14" s="165" t="e">
        <f>#REF!</f>
        <v>#REF!</v>
      </c>
      <c r="I14" s="165">
        <f>I13+B14</f>
        <v>794028</v>
      </c>
      <c r="J14" s="165">
        <f t="shared" si="3"/>
        <v>872752</v>
      </c>
      <c r="K14" s="165">
        <f t="shared" si="3"/>
        <v>807635</v>
      </c>
      <c r="L14" s="165">
        <f t="shared" si="3"/>
        <v>970544</v>
      </c>
      <c r="M14" s="165">
        <f t="shared" si="3"/>
        <v>987027</v>
      </c>
      <c r="N14" s="165" t="e">
        <f>N13+G14</f>
        <v>#REF!</v>
      </c>
      <c r="O14" s="166">
        <f>AVERAGE(I14:M14)</f>
        <v>886397.2</v>
      </c>
      <c r="Q14" s="167">
        <f t="shared" si="1"/>
        <v>0.32465544396088569</v>
      </c>
      <c r="R14" s="167">
        <f t="shared" si="2"/>
        <v>0.42451855984567066</v>
      </c>
      <c r="S14" s="167">
        <f t="shared" si="2"/>
        <v>0.3528587044757287</v>
      </c>
      <c r="T14" s="167">
        <f t="shared" si="2"/>
        <v>0.46875630896619408</v>
      </c>
      <c r="U14" s="167">
        <f t="shared" si="2"/>
        <v>0.38841500319144834</v>
      </c>
      <c r="V14" s="167" t="e">
        <f t="shared" si="2"/>
        <v>#REF!</v>
      </c>
      <c r="W14" s="167">
        <f t="shared" si="2"/>
        <v>0.38869961064138708</v>
      </c>
    </row>
    <row r="15" spans="1:23" x14ac:dyDescent="0.25">
      <c r="A15">
        <v>14</v>
      </c>
      <c r="B15" s="165">
        <v>77359</v>
      </c>
      <c r="C15" s="165">
        <v>38305</v>
      </c>
      <c r="D15" s="165">
        <v>63722</v>
      </c>
      <c r="E15" s="165">
        <v>64647</v>
      </c>
      <c r="F15" s="165">
        <v>71158</v>
      </c>
      <c r="G15" s="165" t="e">
        <f>#REF!</f>
        <v>#REF!</v>
      </c>
      <c r="I15" s="165">
        <f t="shared" ref="I15:N26" si="6">I14+B15</f>
        <v>871387</v>
      </c>
      <c r="J15" s="165">
        <f t="shared" si="3"/>
        <v>911057</v>
      </c>
      <c r="K15" s="165">
        <f t="shared" si="3"/>
        <v>871357</v>
      </c>
      <c r="L15" s="165">
        <f t="shared" si="3"/>
        <v>1035191</v>
      </c>
      <c r="M15" s="165">
        <f t="shared" si="3"/>
        <v>1058185</v>
      </c>
      <c r="N15" s="165" t="e">
        <f t="shared" si="3"/>
        <v>#REF!</v>
      </c>
      <c r="O15" s="166">
        <f t="shared" ref="O15:O25" si="7">AVERAGE(I15:M15)</f>
        <v>949435.4</v>
      </c>
      <c r="Q15" s="167">
        <f t="shared" si="1"/>
        <v>0.35628533672206059</v>
      </c>
      <c r="R15" s="167">
        <f t="shared" si="2"/>
        <v>0.44315063795593385</v>
      </c>
      <c r="S15" s="167">
        <f t="shared" si="2"/>
        <v>0.38069908084203574</v>
      </c>
      <c r="T15" s="167">
        <f t="shared" si="2"/>
        <v>0.49997971471156732</v>
      </c>
      <c r="U15" s="167">
        <f t="shared" si="2"/>
        <v>0.41641710931123743</v>
      </c>
      <c r="V15" s="167" t="e">
        <f t="shared" si="2"/>
        <v>#REF!</v>
      </c>
      <c r="W15" s="167">
        <f t="shared" si="2"/>
        <v>0.41634288816475234</v>
      </c>
    </row>
    <row r="16" spans="1:23" x14ac:dyDescent="0.25">
      <c r="A16">
        <v>15</v>
      </c>
      <c r="B16" s="165">
        <v>90638</v>
      </c>
      <c r="C16" s="165">
        <v>105816</v>
      </c>
      <c r="D16" s="165">
        <v>110755</v>
      </c>
      <c r="E16" s="165">
        <v>35568</v>
      </c>
      <c r="F16" s="165">
        <v>78920</v>
      </c>
      <c r="G16" s="165" t="e">
        <f>#REF!</f>
        <v>#REF!</v>
      </c>
      <c r="I16" s="165">
        <f t="shared" si="6"/>
        <v>962025</v>
      </c>
      <c r="J16" s="165">
        <f t="shared" si="3"/>
        <v>1016873</v>
      </c>
      <c r="K16" s="165">
        <f t="shared" si="3"/>
        <v>982112</v>
      </c>
      <c r="L16" s="165">
        <f t="shared" si="3"/>
        <v>1070759</v>
      </c>
      <c r="M16" s="165">
        <f t="shared" si="3"/>
        <v>1137105</v>
      </c>
      <c r="N16" s="165" t="e">
        <f t="shared" si="3"/>
        <v>#REF!</v>
      </c>
      <c r="O16" s="166">
        <f t="shared" si="7"/>
        <v>1033774.8</v>
      </c>
      <c r="Q16" s="167">
        <f t="shared" si="1"/>
        <v>0.39334463454244822</v>
      </c>
      <c r="R16" s="167">
        <f t="shared" si="2"/>
        <v>0.49462099371407531</v>
      </c>
      <c r="S16" s="167">
        <f t="shared" si="2"/>
        <v>0.42908834804096757</v>
      </c>
      <c r="T16" s="167">
        <f t="shared" si="2"/>
        <v>0.51715845611567635</v>
      </c>
      <c r="U16" s="167">
        <f t="shared" si="2"/>
        <v>0.44747371875745229</v>
      </c>
      <c r="V16" s="167" t="e">
        <f t="shared" si="2"/>
        <v>#REF!</v>
      </c>
      <c r="W16" s="167">
        <f t="shared" si="2"/>
        <v>0.45332708886137935</v>
      </c>
    </row>
    <row r="17" spans="1:23" x14ac:dyDescent="0.25">
      <c r="A17">
        <v>16</v>
      </c>
      <c r="B17" s="165">
        <v>81642</v>
      </c>
      <c r="C17" s="165">
        <v>101029</v>
      </c>
      <c r="D17" s="165">
        <v>71489</v>
      </c>
      <c r="E17" s="165">
        <v>57219</v>
      </c>
      <c r="F17" s="165">
        <v>14837</v>
      </c>
      <c r="G17" s="165" t="e">
        <f>#REF!</f>
        <v>#REF!</v>
      </c>
      <c r="I17" s="165">
        <f t="shared" si="6"/>
        <v>1043667</v>
      </c>
      <c r="J17" s="165">
        <f t="shared" si="3"/>
        <v>1117902</v>
      </c>
      <c r="K17" s="165">
        <f t="shared" si="3"/>
        <v>1053601</v>
      </c>
      <c r="L17" s="165">
        <f t="shared" si="3"/>
        <v>1127978</v>
      </c>
      <c r="M17" s="165">
        <f t="shared" si="3"/>
        <v>1151942</v>
      </c>
      <c r="N17" s="165" t="e">
        <f t="shared" si="3"/>
        <v>#REF!</v>
      </c>
      <c r="O17" s="166">
        <f t="shared" si="7"/>
        <v>1099018</v>
      </c>
      <c r="Q17" s="167">
        <f t="shared" si="1"/>
        <v>0.42672572407059411</v>
      </c>
      <c r="R17" s="167">
        <f t="shared" si="2"/>
        <v>0.54376288692388552</v>
      </c>
      <c r="S17" s="167">
        <f t="shared" si="2"/>
        <v>0.46032215529828724</v>
      </c>
      <c r="T17" s="167">
        <f t="shared" si="2"/>
        <v>0.54479426370681772</v>
      </c>
      <c r="U17" s="167">
        <f t="shared" si="2"/>
        <v>0.45331237707414629</v>
      </c>
      <c r="V17" s="167" t="e">
        <f t="shared" si="2"/>
        <v>#REF!</v>
      </c>
      <c r="W17" s="167">
        <f t="shared" si="2"/>
        <v>0.48193729480178404</v>
      </c>
    </row>
    <row r="18" spans="1:23" x14ac:dyDescent="0.25">
      <c r="A18">
        <v>17</v>
      </c>
      <c r="B18" s="165">
        <v>154136</v>
      </c>
      <c r="C18" s="165">
        <v>52160</v>
      </c>
      <c r="D18" s="165">
        <v>37666</v>
      </c>
      <c r="E18" s="165">
        <v>62040</v>
      </c>
      <c r="F18" s="165">
        <v>32496</v>
      </c>
      <c r="G18" s="165" t="e">
        <f>#REF!</f>
        <v>#REF!</v>
      </c>
      <c r="I18" s="165">
        <f t="shared" si="6"/>
        <v>1197803</v>
      </c>
      <c r="J18" s="165">
        <f t="shared" si="3"/>
        <v>1170062</v>
      </c>
      <c r="K18" s="165">
        <f t="shared" si="3"/>
        <v>1091267</v>
      </c>
      <c r="L18" s="165">
        <f t="shared" si="3"/>
        <v>1190018</v>
      </c>
      <c r="M18" s="165">
        <f t="shared" si="3"/>
        <v>1184438</v>
      </c>
      <c r="N18" s="165" t="e">
        <f t="shared" si="3"/>
        <v>#REF!</v>
      </c>
      <c r="O18" s="166">
        <f t="shared" si="7"/>
        <v>1166717.6000000001</v>
      </c>
      <c r="Q18" s="167">
        <f t="shared" si="1"/>
        <v>0.4897475463619429</v>
      </c>
      <c r="R18" s="167">
        <f t="shared" ref="R18:W18" si="8">J18/J$55</f>
        <v>0.56913422732935026</v>
      </c>
      <c r="S18" s="167">
        <f t="shared" si="8"/>
        <v>0.47677856935015822</v>
      </c>
      <c r="T18" s="167">
        <f t="shared" si="8"/>
        <v>0.57475853262019272</v>
      </c>
      <c r="U18" s="167">
        <f t="shared" si="8"/>
        <v>0.46610020754252179</v>
      </c>
      <c r="V18" s="167" t="e">
        <f t="shared" si="8"/>
        <v>#REF!</v>
      </c>
      <c r="W18" s="167">
        <f t="shared" si="8"/>
        <v>0.51162467215425955</v>
      </c>
    </row>
    <row r="19" spans="1:23" x14ac:dyDescent="0.25">
      <c r="A19">
        <v>18</v>
      </c>
      <c r="B19" s="165">
        <v>31952</v>
      </c>
      <c r="C19" s="165">
        <v>53699</v>
      </c>
      <c r="D19" s="165">
        <v>82562</v>
      </c>
      <c r="E19" s="165">
        <v>17475</v>
      </c>
      <c r="F19" s="165">
        <v>81046</v>
      </c>
      <c r="G19" s="165" t="e">
        <f>#REF!</f>
        <v>#REF!</v>
      </c>
      <c r="I19" s="165">
        <f t="shared" si="6"/>
        <v>1229755</v>
      </c>
      <c r="J19" s="165">
        <f t="shared" si="6"/>
        <v>1223761</v>
      </c>
      <c r="K19" s="165">
        <f t="shared" si="6"/>
        <v>1173829</v>
      </c>
      <c r="L19" s="165">
        <f t="shared" si="6"/>
        <v>1207493</v>
      </c>
      <c r="M19" s="165">
        <f t="shared" si="6"/>
        <v>1265484</v>
      </c>
      <c r="N19" s="165" t="e">
        <f t="shared" si="6"/>
        <v>#REF!</v>
      </c>
      <c r="O19" s="166">
        <f t="shared" si="7"/>
        <v>1220064.3999999999</v>
      </c>
      <c r="Q19" s="167">
        <f t="shared" ref="Q19:V23" si="9">I19/I$55</f>
        <v>0.50281180951820215</v>
      </c>
      <c r="R19" s="167">
        <f t="shared" si="9"/>
        <v>0.59525415847262197</v>
      </c>
      <c r="S19" s="167">
        <f t="shared" si="9"/>
        <v>0.5128502110681683</v>
      </c>
      <c r="T19" s="167">
        <f t="shared" si="9"/>
        <v>0.5831986615573499</v>
      </c>
      <c r="U19" s="167">
        <f t="shared" si="9"/>
        <v>0.49799344080630703</v>
      </c>
      <c r="V19" s="167" t="e">
        <f>N19/N$55</f>
        <v>#REF!</v>
      </c>
      <c r="W19" s="167">
        <f>O19/O$55</f>
        <v>0.5350181129153132</v>
      </c>
    </row>
    <row r="20" spans="1:23" x14ac:dyDescent="0.25">
      <c r="A20">
        <v>19</v>
      </c>
      <c r="B20" s="165">
        <v>43018</v>
      </c>
      <c r="C20" s="165">
        <v>71062</v>
      </c>
      <c r="D20" s="165">
        <v>8994</v>
      </c>
      <c r="E20" s="165">
        <v>8193</v>
      </c>
      <c r="F20" s="165">
        <v>46067</v>
      </c>
      <c r="G20" s="165">
        <v>62423</v>
      </c>
      <c r="I20" s="165">
        <f t="shared" si="6"/>
        <v>1272773</v>
      </c>
      <c r="J20" s="165">
        <f t="shared" si="6"/>
        <v>1294823</v>
      </c>
      <c r="K20" s="165">
        <f t="shared" si="6"/>
        <v>1182823</v>
      </c>
      <c r="L20" s="165">
        <f t="shared" si="6"/>
        <v>1215686</v>
      </c>
      <c r="M20" s="165">
        <f t="shared" si="6"/>
        <v>1311551</v>
      </c>
      <c r="N20" s="165" t="e">
        <f t="shared" si="6"/>
        <v>#REF!</v>
      </c>
      <c r="O20" s="166">
        <f>AVERAGE(I20:M20)</f>
        <v>1255531.2</v>
      </c>
      <c r="Q20" s="167">
        <f t="shared" si="9"/>
        <v>0.52040064503572725</v>
      </c>
      <c r="R20" s="167">
        <f t="shared" si="9"/>
        <v>0.62981969129265913</v>
      </c>
      <c r="S20" s="167">
        <f t="shared" si="9"/>
        <v>0.51677972277587625</v>
      </c>
      <c r="T20" s="167">
        <f t="shared" si="9"/>
        <v>0.58715574175089091</v>
      </c>
      <c r="U20" s="167">
        <f t="shared" si="9"/>
        <v>0.51612173309417808</v>
      </c>
      <c r="V20" s="167" t="e">
        <f t="shared" si="9"/>
        <v>#REF!</v>
      </c>
      <c r="W20" s="167">
        <f>O20/O$55</f>
        <v>0.55057088243071328</v>
      </c>
    </row>
    <row r="21" spans="1:23" x14ac:dyDescent="0.25">
      <c r="A21">
        <v>20</v>
      </c>
      <c r="B21" s="165">
        <v>46958</v>
      </c>
      <c r="C21" s="165">
        <v>61672</v>
      </c>
      <c r="D21" s="165">
        <v>45040</v>
      </c>
      <c r="E21" s="165">
        <v>25935</v>
      </c>
      <c r="F21" s="165">
        <v>110516</v>
      </c>
      <c r="G21" s="165">
        <v>61504</v>
      </c>
      <c r="I21" s="165">
        <f t="shared" si="6"/>
        <v>1319731</v>
      </c>
      <c r="J21" s="165">
        <f t="shared" si="6"/>
        <v>1356495</v>
      </c>
      <c r="K21" s="165">
        <f t="shared" si="6"/>
        <v>1227863</v>
      </c>
      <c r="L21" s="165">
        <f t="shared" si="6"/>
        <v>1241621</v>
      </c>
      <c r="M21" s="165">
        <f t="shared" si="6"/>
        <v>1422067</v>
      </c>
      <c r="N21" s="165" t="e">
        <f t="shared" si="6"/>
        <v>#REF!</v>
      </c>
      <c r="O21" s="166">
        <f t="shared" si="7"/>
        <v>1313555.3999999999</v>
      </c>
      <c r="Q21" s="167">
        <f t="shared" si="9"/>
        <v>0.53960043438511451</v>
      </c>
      <c r="R21" s="167">
        <f t="shared" si="9"/>
        <v>0.6598177991432308</v>
      </c>
      <c r="S21" s="167">
        <f t="shared" si="9"/>
        <v>0.53645786457209221</v>
      </c>
      <c r="T21" s="167">
        <f t="shared" si="9"/>
        <v>0.59968190735805371</v>
      </c>
      <c r="U21" s="167">
        <f t="shared" si="9"/>
        <v>0.55961200488279794</v>
      </c>
      <c r="V21" s="167" t="e">
        <f t="shared" si="9"/>
        <v>#REF!</v>
      </c>
      <c r="W21" s="167">
        <f>O21/O$55</f>
        <v>0.57601543928149979</v>
      </c>
    </row>
    <row r="22" spans="1:23" x14ac:dyDescent="0.25">
      <c r="A22">
        <v>21</v>
      </c>
      <c r="B22" s="165">
        <v>81408</v>
      </c>
      <c r="C22" s="165">
        <v>27272</v>
      </c>
      <c r="D22" s="165">
        <v>43259</v>
      </c>
      <c r="E22" s="165">
        <v>87439</v>
      </c>
      <c r="F22" s="165">
        <v>34553</v>
      </c>
      <c r="G22" s="165">
        <v>116883</v>
      </c>
      <c r="I22" s="165">
        <f t="shared" si="6"/>
        <v>1401139</v>
      </c>
      <c r="J22" s="165">
        <f t="shared" si="6"/>
        <v>1383767</v>
      </c>
      <c r="K22" s="165">
        <f t="shared" si="6"/>
        <v>1271122</v>
      </c>
      <c r="L22" s="165">
        <f t="shared" si="6"/>
        <v>1329060</v>
      </c>
      <c r="M22" s="165">
        <f t="shared" si="6"/>
        <v>1456620</v>
      </c>
      <c r="N22" s="165" t="e">
        <f t="shared" si="6"/>
        <v>#REF!</v>
      </c>
      <c r="O22" s="166">
        <f t="shared" si="7"/>
        <v>1368341.6</v>
      </c>
      <c r="Q22" s="167">
        <f t="shared" si="9"/>
        <v>0.57288584797502284</v>
      </c>
      <c r="R22" s="167">
        <f t="shared" si="9"/>
        <v>0.67308327451780592</v>
      </c>
      <c r="S22" s="167">
        <f t="shared" si="9"/>
        <v>0.55535788091228988</v>
      </c>
      <c r="T22" s="167">
        <f t="shared" si="9"/>
        <v>0.64191346295954632</v>
      </c>
      <c r="U22" s="167">
        <f t="shared" si="9"/>
        <v>0.57320930627908606</v>
      </c>
      <c r="V22" s="167" t="e">
        <f t="shared" si="9"/>
        <v>#REF!</v>
      </c>
      <c r="W22" s="167">
        <f>O22/O$55</f>
        <v>0.60004008038880607</v>
      </c>
    </row>
    <row r="23" spans="1:23" x14ac:dyDescent="0.25">
      <c r="A23">
        <v>22</v>
      </c>
      <c r="B23" s="165">
        <v>43204</v>
      </c>
      <c r="C23" s="165">
        <v>24800</v>
      </c>
      <c r="D23" s="165">
        <v>30562</v>
      </c>
      <c r="E23" s="165">
        <v>19227</v>
      </c>
      <c r="F23" s="165">
        <v>26048</v>
      </c>
      <c r="G23" s="165">
        <v>62703</v>
      </c>
      <c r="I23" s="165">
        <f>I22+B23</f>
        <v>1444343</v>
      </c>
      <c r="J23" s="165">
        <f t="shared" si="6"/>
        <v>1408567</v>
      </c>
      <c r="K23" s="165">
        <f t="shared" si="6"/>
        <v>1301684</v>
      </c>
      <c r="L23" s="165">
        <f t="shared" si="6"/>
        <v>1348287</v>
      </c>
      <c r="M23" s="165">
        <f t="shared" si="6"/>
        <v>1482668</v>
      </c>
      <c r="N23" s="165" t="e">
        <f t="shared" si="6"/>
        <v>#REF!</v>
      </c>
      <c r="O23" s="166">
        <f t="shared" si="7"/>
        <v>1397109.8</v>
      </c>
      <c r="Q23" s="167">
        <f t="shared" si="9"/>
        <v>0.59055073359730081</v>
      </c>
      <c r="R23" s="167">
        <f t="shared" si="9"/>
        <v>0.68514633514003609</v>
      </c>
      <c r="S23" s="167">
        <f t="shared" si="9"/>
        <v>0.56871053121370974</v>
      </c>
      <c r="T23" s="167">
        <f t="shared" si="9"/>
        <v>0.65119977821417985</v>
      </c>
      <c r="U23" s="167">
        <f t="shared" si="9"/>
        <v>0.58345971888495285</v>
      </c>
      <c r="V23" s="167" t="e">
        <f t="shared" si="9"/>
        <v>#REF!</v>
      </c>
      <c r="W23" s="167">
        <f>O23/O$55</f>
        <v>0.61265540469133495</v>
      </c>
    </row>
    <row r="24" spans="1:23" x14ac:dyDescent="0.25">
      <c r="A24">
        <v>23</v>
      </c>
      <c r="B24" s="165">
        <v>42616</v>
      </c>
      <c r="C24" s="165">
        <v>18193</v>
      </c>
      <c r="D24" s="165">
        <v>60708</v>
      </c>
      <c r="E24" s="165">
        <v>57872</v>
      </c>
      <c r="F24" s="165">
        <v>19306</v>
      </c>
      <c r="G24" s="165">
        <v>62703</v>
      </c>
      <c r="I24" s="165">
        <f>I23+B24</f>
        <v>1486959</v>
      </c>
      <c r="J24" s="165">
        <f t="shared" si="6"/>
        <v>1426760</v>
      </c>
      <c r="K24" s="165">
        <f t="shared" si="6"/>
        <v>1362392</v>
      </c>
      <c r="L24" s="165">
        <f t="shared" si="6"/>
        <v>1406159</v>
      </c>
      <c r="M24" s="165">
        <f t="shared" si="6"/>
        <v>1501974</v>
      </c>
      <c r="N24" s="165" t="e">
        <f t="shared" si="6"/>
        <v>#REF!</v>
      </c>
      <c r="O24" s="166">
        <f t="shared" si="7"/>
        <v>1436848.8</v>
      </c>
      <c r="Q24" s="167">
        <f t="shared" ref="Q24:Q53" si="10">I24/I$55</f>
        <v>0.60797520275939221</v>
      </c>
      <c r="R24" s="167">
        <f t="shared" ref="R24:R53" si="11">J24/J$55</f>
        <v>0.69399566021665837</v>
      </c>
    </row>
    <row r="25" spans="1:23" x14ac:dyDescent="0.25">
      <c r="A25">
        <v>24</v>
      </c>
      <c r="B25" s="165">
        <v>90129</v>
      </c>
      <c r="C25" s="165">
        <v>21187</v>
      </c>
      <c r="D25" s="165">
        <v>10573</v>
      </c>
      <c r="E25" s="165">
        <v>29714</v>
      </c>
      <c r="F25" s="165">
        <v>24458</v>
      </c>
      <c r="G25" s="165">
        <v>7703</v>
      </c>
      <c r="I25" s="165">
        <f>I24+B25</f>
        <v>1577088</v>
      </c>
      <c r="J25" s="165">
        <f t="shared" si="6"/>
        <v>1447947</v>
      </c>
      <c r="K25" s="165">
        <f t="shared" si="6"/>
        <v>1372965</v>
      </c>
      <c r="L25" s="165">
        <f t="shared" si="6"/>
        <v>1435873</v>
      </c>
      <c r="M25" s="165">
        <f t="shared" si="6"/>
        <v>1526432</v>
      </c>
      <c r="N25" s="165" t="e">
        <f t="shared" si="6"/>
        <v>#REF!</v>
      </c>
      <c r="O25" s="166">
        <f t="shared" si="7"/>
        <v>1472061</v>
      </c>
      <c r="Q25" s="167">
        <f t="shared" si="10"/>
        <v>0.64482638497053668</v>
      </c>
      <c r="R25" s="167">
        <f t="shared" si="11"/>
        <v>0.70430130801517421</v>
      </c>
    </row>
    <row r="26" spans="1:23" x14ac:dyDescent="0.25">
      <c r="A26">
        <v>25</v>
      </c>
      <c r="B26" s="165">
        <v>15889</v>
      </c>
      <c r="C26" s="165">
        <v>27045</v>
      </c>
      <c r="D26" s="165">
        <v>10320</v>
      </c>
      <c r="E26" s="165">
        <v>63403</v>
      </c>
      <c r="F26" s="165">
        <v>36479</v>
      </c>
      <c r="G26" s="165">
        <v>115003</v>
      </c>
      <c r="I26" s="165">
        <f>I25+B26</f>
        <v>1592977</v>
      </c>
      <c r="J26" s="165">
        <f t="shared" si="6"/>
        <v>1474992</v>
      </c>
      <c r="K26" s="165">
        <f t="shared" si="6"/>
        <v>1383285</v>
      </c>
      <c r="L26" s="165">
        <f t="shared" si="6"/>
        <v>1499276</v>
      </c>
      <c r="M26" s="165">
        <f t="shared" si="6"/>
        <v>1562911</v>
      </c>
      <c r="N26" s="165" t="e">
        <f t="shared" si="6"/>
        <v>#REF!</v>
      </c>
      <c r="O26" s="166">
        <f>AVERAGE(I26:M26)</f>
        <v>1502688.2</v>
      </c>
      <c r="Q26" s="167">
        <f t="shared" si="10"/>
        <v>0.65132294472547547</v>
      </c>
      <c r="R26" s="167">
        <f t="shared" si="11"/>
        <v>0.71745636747195707</v>
      </c>
    </row>
    <row r="27" spans="1:23" x14ac:dyDescent="0.25">
      <c r="A27">
        <v>26</v>
      </c>
      <c r="B27" s="165">
        <v>105428</v>
      </c>
      <c r="C27" s="165">
        <v>27629</v>
      </c>
      <c r="D27" s="165">
        <v>67941</v>
      </c>
      <c r="E27" s="165">
        <v>40373</v>
      </c>
      <c r="F27" s="165">
        <v>49827</v>
      </c>
      <c r="G27" s="165">
        <v>60007</v>
      </c>
      <c r="I27" s="165">
        <f>I26+B27</f>
        <v>1698405</v>
      </c>
      <c r="J27" s="165">
        <f>J26+C27</f>
        <v>1502621</v>
      </c>
      <c r="K27" s="165">
        <f>K26+D27</f>
        <v>1451226</v>
      </c>
      <c r="L27" s="165">
        <f>L26+E27</f>
        <v>1539649</v>
      </c>
      <c r="M27" s="165">
        <f>M26+F27</f>
        <v>1612738</v>
      </c>
      <c r="N27" s="165" t="e">
        <f>N26+G27</f>
        <v>#REF!</v>
      </c>
      <c r="O27" s="166">
        <f>AVERAGE(I27:M27)</f>
        <v>1560927.8</v>
      </c>
      <c r="Q27" s="167">
        <f t="shared" si="10"/>
        <v>0.69442945248831034</v>
      </c>
      <c r="R27" s="167">
        <f t="shared" si="11"/>
        <v>0.73089549254984398</v>
      </c>
    </row>
    <row r="28" spans="1:23" x14ac:dyDescent="0.25">
      <c r="A28">
        <v>27</v>
      </c>
      <c r="B28" s="165">
        <v>37515</v>
      </c>
      <c r="C28" s="165">
        <v>23028</v>
      </c>
      <c r="D28" s="165">
        <v>16077</v>
      </c>
      <c r="E28" s="165">
        <v>28753</v>
      </c>
      <c r="F28" s="165">
        <v>55534</v>
      </c>
      <c r="G28" s="165" t="e">
        <f>#REF!</f>
        <v>#REF!</v>
      </c>
      <c r="I28" s="165">
        <f t="shared" ref="I28:I38" si="12">I27+B28</f>
        <v>1735920</v>
      </c>
      <c r="J28" s="165">
        <f t="shared" ref="J28:J38" si="13">J27+C28</f>
        <v>1525649</v>
      </c>
      <c r="K28" s="165">
        <f t="shared" ref="K28:K38" si="14">K27+D28</f>
        <v>1467303</v>
      </c>
      <c r="L28" s="165">
        <f t="shared" ref="L28:L38" si="15">L27+E28</f>
        <v>1568402</v>
      </c>
      <c r="M28" s="165">
        <f t="shared" ref="M28:M38" si="16">M27+F28</f>
        <v>1668272</v>
      </c>
      <c r="N28" s="165" t="e">
        <f t="shared" ref="N28:N38" si="17">N27+G28</f>
        <v>#REF!</v>
      </c>
      <c r="O28" s="166">
        <f t="shared" ref="O28:O53" si="18">AVERAGE(I28:M28)</f>
        <v>1593109.2</v>
      </c>
      <c r="Q28" s="167">
        <f t="shared" si="10"/>
        <v>0.70976826797113035</v>
      </c>
      <c r="R28" s="167">
        <f t="shared" si="11"/>
        <v>0.74209662803406651</v>
      </c>
    </row>
    <row r="29" spans="1:23" x14ac:dyDescent="0.25">
      <c r="A29">
        <v>28</v>
      </c>
      <c r="B29" s="165">
        <v>71299</v>
      </c>
      <c r="C29" s="165">
        <v>21224</v>
      </c>
      <c r="D29" s="165">
        <v>58482</v>
      </c>
      <c r="E29" s="165">
        <v>12699</v>
      </c>
      <c r="F29" s="165">
        <v>24986</v>
      </c>
      <c r="G29" s="165" t="e">
        <f>#REF!</f>
        <v>#REF!</v>
      </c>
      <c r="I29" s="165">
        <f t="shared" si="12"/>
        <v>1807219</v>
      </c>
      <c r="J29" s="165">
        <f t="shared" si="13"/>
        <v>1546873</v>
      </c>
      <c r="K29" s="165">
        <f t="shared" si="14"/>
        <v>1525785</v>
      </c>
      <c r="L29" s="165">
        <f t="shared" si="15"/>
        <v>1581101</v>
      </c>
      <c r="M29" s="165">
        <f t="shared" si="16"/>
        <v>1693258</v>
      </c>
      <c r="N29" s="165" t="e">
        <f t="shared" si="17"/>
        <v>#REF!</v>
      </c>
      <c r="O29" s="166">
        <f t="shared" si="18"/>
        <v>1630847.2</v>
      </c>
      <c r="Q29" s="167">
        <f t="shared" si="10"/>
        <v>0.73892039925487252</v>
      </c>
      <c r="R29" s="167">
        <f t="shared" si="11"/>
        <v>0.75242027314076865</v>
      </c>
    </row>
    <row r="30" spans="1:23" x14ac:dyDescent="0.25">
      <c r="A30">
        <v>29</v>
      </c>
      <c r="B30" s="165">
        <v>9344</v>
      </c>
      <c r="C30" s="165">
        <v>21397</v>
      </c>
      <c r="D30" s="165">
        <v>11659</v>
      </c>
      <c r="E30" s="165">
        <v>13439</v>
      </c>
      <c r="F30" s="165">
        <v>25914</v>
      </c>
      <c r="G30" s="165" t="e">
        <f>#REF!</f>
        <v>#REF!</v>
      </c>
      <c r="I30" s="165">
        <f t="shared" si="12"/>
        <v>1816563</v>
      </c>
      <c r="J30" s="165">
        <f t="shared" si="13"/>
        <v>1568270</v>
      </c>
      <c r="K30" s="165">
        <f t="shared" si="14"/>
        <v>1537444</v>
      </c>
      <c r="L30" s="165">
        <f t="shared" si="15"/>
        <v>1594540</v>
      </c>
      <c r="M30" s="165">
        <f t="shared" si="16"/>
        <v>1719172</v>
      </c>
      <c r="N30" s="165" t="e">
        <f t="shared" si="17"/>
        <v>#REF!</v>
      </c>
      <c r="O30" s="166">
        <f t="shared" si="18"/>
        <v>1647197.8</v>
      </c>
      <c r="Q30" s="167">
        <f t="shared" si="10"/>
        <v>0.74274089483987771</v>
      </c>
      <c r="R30" s="167">
        <f t="shared" si="11"/>
        <v>0.76282806782358548</v>
      </c>
    </row>
    <row r="31" spans="1:23" x14ac:dyDescent="0.25">
      <c r="A31">
        <v>30</v>
      </c>
      <c r="B31" s="165">
        <v>65034</v>
      </c>
      <c r="C31" s="165">
        <v>24612</v>
      </c>
      <c r="D31" s="165">
        <v>34797</v>
      </c>
      <c r="E31" s="165">
        <v>14842</v>
      </c>
      <c r="F31" s="165">
        <v>30658</v>
      </c>
      <c r="G31" s="165" t="e">
        <f>#REF!</f>
        <v>#REF!</v>
      </c>
      <c r="I31" s="165">
        <f t="shared" si="12"/>
        <v>1881597</v>
      </c>
      <c r="J31" s="165">
        <f t="shared" si="13"/>
        <v>1592882</v>
      </c>
      <c r="K31" s="165">
        <f t="shared" si="14"/>
        <v>1572241</v>
      </c>
      <c r="L31" s="165">
        <f t="shared" si="15"/>
        <v>1609382</v>
      </c>
      <c r="M31" s="165">
        <f t="shared" si="16"/>
        <v>1749830</v>
      </c>
      <c r="N31" s="165" t="e">
        <f t="shared" si="17"/>
        <v>#REF!</v>
      </c>
      <c r="O31" s="166">
        <f t="shared" si="18"/>
        <v>1681186.4</v>
      </c>
      <c r="Q31" s="167">
        <f t="shared" si="10"/>
        <v>0.7693314459823466</v>
      </c>
      <c r="R31" s="167">
        <f t="shared" si="11"/>
        <v>0.77479968266367949</v>
      </c>
    </row>
    <row r="32" spans="1:23" x14ac:dyDescent="0.25">
      <c r="A32">
        <v>31</v>
      </c>
      <c r="B32" s="165">
        <v>38081</v>
      </c>
      <c r="C32" s="165">
        <v>23097</v>
      </c>
      <c r="D32" s="165">
        <v>63343</v>
      </c>
      <c r="E32" s="165">
        <v>21271</v>
      </c>
      <c r="F32" s="165">
        <v>33426</v>
      </c>
      <c r="G32" s="165" t="e">
        <f>#REF!</f>
        <v>#REF!</v>
      </c>
      <c r="I32" s="165">
        <f t="shared" si="12"/>
        <v>1919678</v>
      </c>
      <c r="J32" s="165">
        <f t="shared" si="13"/>
        <v>1615979</v>
      </c>
      <c r="K32" s="165">
        <f t="shared" si="14"/>
        <v>1635584</v>
      </c>
      <c r="L32" s="165">
        <f t="shared" si="15"/>
        <v>1630653</v>
      </c>
      <c r="M32" s="165">
        <f t="shared" si="16"/>
        <v>1783256</v>
      </c>
      <c r="N32" s="165" t="e">
        <f t="shared" si="17"/>
        <v>#REF!</v>
      </c>
      <c r="O32" s="166">
        <f t="shared" si="18"/>
        <v>1717030</v>
      </c>
      <c r="Q32" s="167">
        <f t="shared" si="10"/>
        <v>0.78490168275167271</v>
      </c>
      <c r="R32" s="167">
        <f t="shared" si="11"/>
        <v>0.78603438069560083</v>
      </c>
    </row>
    <row r="33" spans="1:18" x14ac:dyDescent="0.25">
      <c r="A33">
        <v>32</v>
      </c>
      <c r="B33" s="165">
        <v>44228</v>
      </c>
      <c r="C33" s="165">
        <v>23438</v>
      </c>
      <c r="D33" s="165">
        <v>48382</v>
      </c>
      <c r="E33" s="165">
        <v>69709</v>
      </c>
      <c r="F33" s="165">
        <v>28996</v>
      </c>
      <c r="G33" s="165" t="e">
        <f>#REF!</f>
        <v>#REF!</v>
      </c>
      <c r="I33" s="165">
        <f t="shared" si="12"/>
        <v>1963906</v>
      </c>
      <c r="J33" s="165">
        <f t="shared" si="13"/>
        <v>1639417</v>
      </c>
      <c r="K33" s="165">
        <f t="shared" si="14"/>
        <v>1683966</v>
      </c>
      <c r="L33" s="165">
        <f t="shared" si="15"/>
        <v>1700362</v>
      </c>
      <c r="M33" s="165">
        <f t="shared" si="16"/>
        <v>1812252</v>
      </c>
      <c r="N33" s="165" t="e">
        <f t="shared" si="17"/>
        <v>#REF!</v>
      </c>
      <c r="O33" s="166">
        <f t="shared" si="18"/>
        <v>1759980.6</v>
      </c>
      <c r="Q33" s="167">
        <f t="shared" si="10"/>
        <v>0.80298525282162247</v>
      </c>
      <c r="R33" s="167">
        <f t="shared" si="11"/>
        <v>0.79743494581107788</v>
      </c>
    </row>
    <row r="34" spans="1:18" x14ac:dyDescent="0.25">
      <c r="A34">
        <v>33</v>
      </c>
      <c r="B34" s="165">
        <v>0</v>
      </c>
      <c r="C34" s="165">
        <v>0</v>
      </c>
      <c r="D34" s="165">
        <v>0</v>
      </c>
      <c r="E34" s="165">
        <v>15924</v>
      </c>
      <c r="F34" s="165">
        <v>29993</v>
      </c>
      <c r="G34" s="165" t="e">
        <f>#REF!</f>
        <v>#REF!</v>
      </c>
      <c r="I34" s="165">
        <f t="shared" si="12"/>
        <v>1963906</v>
      </c>
      <c r="J34" s="165">
        <f t="shared" si="13"/>
        <v>1639417</v>
      </c>
      <c r="K34" s="165">
        <f t="shared" si="14"/>
        <v>1683966</v>
      </c>
      <c r="L34" s="165">
        <f t="shared" si="15"/>
        <v>1716286</v>
      </c>
      <c r="M34" s="165">
        <f t="shared" si="16"/>
        <v>1842245</v>
      </c>
      <c r="N34" s="165" t="e">
        <f t="shared" si="17"/>
        <v>#REF!</v>
      </c>
      <c r="O34" s="166">
        <f t="shared" si="18"/>
        <v>1769164</v>
      </c>
      <c r="Q34" s="167">
        <f t="shared" si="10"/>
        <v>0.80298525282162247</v>
      </c>
      <c r="R34" s="167">
        <f t="shared" si="11"/>
        <v>0.79743494581107788</v>
      </c>
    </row>
    <row r="35" spans="1:18" x14ac:dyDescent="0.25">
      <c r="A35">
        <v>34</v>
      </c>
      <c r="B35" s="165">
        <v>0</v>
      </c>
      <c r="C35" s="165">
        <v>0</v>
      </c>
      <c r="D35" s="165">
        <v>0</v>
      </c>
      <c r="E35" s="165">
        <v>12825</v>
      </c>
      <c r="F35" s="165">
        <v>25665</v>
      </c>
      <c r="G35" s="165" t="e">
        <f>#REF!</f>
        <v>#REF!</v>
      </c>
      <c r="I35" s="165">
        <f t="shared" si="12"/>
        <v>1963906</v>
      </c>
      <c r="J35" s="165">
        <f t="shared" si="13"/>
        <v>1639417</v>
      </c>
      <c r="K35" s="165">
        <f t="shared" si="14"/>
        <v>1683966</v>
      </c>
      <c r="L35" s="165">
        <f t="shared" si="15"/>
        <v>1729111</v>
      </c>
      <c r="M35" s="165">
        <f t="shared" si="16"/>
        <v>1867910</v>
      </c>
      <c r="N35" s="165" t="e">
        <f t="shared" si="17"/>
        <v>#REF!</v>
      </c>
      <c r="O35" s="166">
        <f t="shared" si="18"/>
        <v>1776862</v>
      </c>
      <c r="Q35" s="167">
        <f t="shared" si="10"/>
        <v>0.80298525282162247</v>
      </c>
      <c r="R35" s="167">
        <f t="shared" si="11"/>
        <v>0.79743494581107788</v>
      </c>
    </row>
    <row r="36" spans="1:18" x14ac:dyDescent="0.25">
      <c r="A36">
        <v>35</v>
      </c>
      <c r="B36" s="165">
        <v>121518</v>
      </c>
      <c r="C36" s="165">
        <v>47004</v>
      </c>
      <c r="D36" s="165">
        <v>67694</v>
      </c>
      <c r="E36" s="165">
        <v>9216</v>
      </c>
      <c r="F36" s="165">
        <v>18681</v>
      </c>
      <c r="G36" s="165" t="e">
        <f>#REF!</f>
        <v>#REF!</v>
      </c>
      <c r="I36" s="165">
        <f t="shared" si="12"/>
        <v>2085424</v>
      </c>
      <c r="J36" s="165">
        <f t="shared" si="13"/>
        <v>1686421</v>
      </c>
      <c r="K36" s="165">
        <f t="shared" si="14"/>
        <v>1751660</v>
      </c>
      <c r="L36" s="165">
        <f t="shared" si="15"/>
        <v>1738327</v>
      </c>
      <c r="M36" s="165">
        <f t="shared" si="16"/>
        <v>1886591</v>
      </c>
      <c r="N36" s="165" t="e">
        <f t="shared" si="17"/>
        <v>#REF!</v>
      </c>
      <c r="O36" s="166">
        <f t="shared" si="18"/>
        <v>1829684.6</v>
      </c>
      <c r="Q36" s="167">
        <f t="shared" si="10"/>
        <v>0.85267050351711293</v>
      </c>
      <c r="R36" s="167">
        <f t="shared" si="11"/>
        <v>0.82029833700008226</v>
      </c>
    </row>
    <row r="37" spans="1:18" x14ac:dyDescent="0.25">
      <c r="A37">
        <v>36</v>
      </c>
      <c r="B37" s="165">
        <v>9702</v>
      </c>
      <c r="C37" s="165">
        <v>7435</v>
      </c>
      <c r="D37" s="165">
        <v>5327</v>
      </c>
      <c r="E37" s="165">
        <v>5488</v>
      </c>
      <c r="F37" s="165">
        <v>11869</v>
      </c>
      <c r="G37" s="165" t="e">
        <f>#REF!</f>
        <v>#REF!</v>
      </c>
      <c r="I37" s="165">
        <f t="shared" si="12"/>
        <v>2095126</v>
      </c>
      <c r="J37" s="165">
        <f t="shared" si="13"/>
        <v>1693856</v>
      </c>
      <c r="K37" s="165">
        <f t="shared" si="14"/>
        <v>1756987</v>
      </c>
      <c r="L37" s="165">
        <f t="shared" si="15"/>
        <v>1743815</v>
      </c>
      <c r="M37" s="165">
        <f t="shared" si="16"/>
        <v>1898460</v>
      </c>
      <c r="N37" s="165" t="e">
        <f t="shared" si="17"/>
        <v>#REF!</v>
      </c>
      <c r="O37" s="166">
        <f t="shared" si="18"/>
        <v>1837648.8</v>
      </c>
      <c r="Q37" s="167">
        <f t="shared" si="10"/>
        <v>0.85663737511019089</v>
      </c>
      <c r="R37" s="167">
        <f t="shared" si="11"/>
        <v>0.8239148231180774</v>
      </c>
    </row>
    <row r="38" spans="1:18" x14ac:dyDescent="0.25">
      <c r="A38">
        <v>37</v>
      </c>
      <c r="B38" s="165">
        <v>41051</v>
      </c>
      <c r="C38" s="165">
        <v>26319</v>
      </c>
      <c r="D38" s="165">
        <v>48957</v>
      </c>
      <c r="E38" s="165">
        <v>17380</v>
      </c>
      <c r="F38" s="165">
        <v>28190</v>
      </c>
      <c r="G38" s="165" t="e">
        <f>#REF!</f>
        <v>#REF!</v>
      </c>
      <c r="I38" s="165">
        <f t="shared" si="12"/>
        <v>2136177</v>
      </c>
      <c r="J38" s="165">
        <f t="shared" si="13"/>
        <v>1720175</v>
      </c>
      <c r="K38" s="165">
        <f t="shared" si="14"/>
        <v>1805944</v>
      </c>
      <c r="L38" s="165">
        <f t="shared" si="15"/>
        <v>1761195</v>
      </c>
      <c r="M38" s="165">
        <f t="shared" si="16"/>
        <v>1926650</v>
      </c>
      <c r="N38" s="165" t="e">
        <f t="shared" si="17"/>
        <v>#REF!</v>
      </c>
      <c r="O38" s="166">
        <f t="shared" si="18"/>
        <v>1870028.2</v>
      </c>
      <c r="Q38" s="167">
        <f t="shared" si="10"/>
        <v>0.87342196032637764</v>
      </c>
      <c r="R38" s="167">
        <f t="shared" si="11"/>
        <v>0.83671674620341918</v>
      </c>
    </row>
    <row r="39" spans="1:18" x14ac:dyDescent="0.25">
      <c r="A39">
        <v>38</v>
      </c>
      <c r="B39" s="165">
        <v>13584</v>
      </c>
      <c r="C39" s="165">
        <v>25178</v>
      </c>
      <c r="D39" s="165">
        <v>20987</v>
      </c>
      <c r="E39" s="165">
        <v>16715</v>
      </c>
      <c r="F39" s="165">
        <v>32029</v>
      </c>
      <c r="G39" s="165" t="e">
        <f>#REF!</f>
        <v>#REF!</v>
      </c>
      <c r="I39" s="165">
        <f t="shared" ref="I39:I53" si="19">I38+B39</f>
        <v>2149761</v>
      </c>
      <c r="J39" s="165">
        <f t="shared" ref="J39:J53" si="20">J38+C39</f>
        <v>1745353</v>
      </c>
      <c r="K39" s="165">
        <f t="shared" ref="K39:K53" si="21">K38+D39</f>
        <v>1826931</v>
      </c>
      <c r="L39" s="165">
        <f t="shared" ref="L39:L53" si="22">L38+E39</f>
        <v>1777910</v>
      </c>
      <c r="M39" s="165">
        <f t="shared" ref="M39:M53" si="23">M38+F39</f>
        <v>1958679</v>
      </c>
      <c r="N39" s="165" t="e">
        <f t="shared" ref="N39:N53" si="24">N38+G39</f>
        <v>#REF!</v>
      </c>
      <c r="O39" s="166">
        <f t="shared" si="18"/>
        <v>1891726.8</v>
      </c>
      <c r="Q39" s="167">
        <f t="shared" si="10"/>
        <v>0.87897607120252386</v>
      </c>
      <c r="R39" s="167">
        <f t="shared" si="11"/>
        <v>0.84896367121739147</v>
      </c>
    </row>
    <row r="40" spans="1:18" x14ac:dyDescent="0.25">
      <c r="A40">
        <v>39</v>
      </c>
      <c r="B40" s="165">
        <v>46614</v>
      </c>
      <c r="C40" s="165">
        <v>24719</v>
      </c>
      <c r="D40" s="165">
        <v>14220</v>
      </c>
      <c r="E40" s="165">
        <v>17371</v>
      </c>
      <c r="F40" s="165">
        <v>36059</v>
      </c>
      <c r="G40" s="165" t="e">
        <f>#REF!</f>
        <v>#REF!</v>
      </c>
      <c r="I40" s="165">
        <f t="shared" si="19"/>
        <v>2196375</v>
      </c>
      <c r="J40" s="165">
        <f t="shared" si="20"/>
        <v>1770072</v>
      </c>
      <c r="K40" s="165">
        <f t="shared" si="21"/>
        <v>1841151</v>
      </c>
      <c r="L40" s="165">
        <f t="shared" si="22"/>
        <v>1795281</v>
      </c>
      <c r="M40" s="165">
        <f t="shared" si="23"/>
        <v>1994738</v>
      </c>
      <c r="N40" s="165" t="e">
        <f t="shared" si="24"/>
        <v>#REF!</v>
      </c>
      <c r="O40" s="166">
        <f t="shared" si="18"/>
        <v>1919523.4</v>
      </c>
      <c r="Q40" s="167">
        <f t="shared" si="10"/>
        <v>0.89803520874527143</v>
      </c>
      <c r="R40" s="167">
        <f t="shared" si="11"/>
        <v>0.86098733232710545</v>
      </c>
    </row>
    <row r="41" spans="1:18" x14ac:dyDescent="0.25">
      <c r="A41">
        <v>40</v>
      </c>
      <c r="B41" s="165">
        <v>9411</v>
      </c>
      <c r="C41" s="165">
        <v>22156</v>
      </c>
      <c r="D41" s="165">
        <v>51593</v>
      </c>
      <c r="E41" s="165">
        <v>51844</v>
      </c>
      <c r="F41" s="165">
        <v>37800</v>
      </c>
      <c r="G41" s="165" t="e">
        <f>#REF!</f>
        <v>#REF!</v>
      </c>
      <c r="I41" s="165">
        <f t="shared" si="19"/>
        <v>2205786</v>
      </c>
      <c r="J41" s="165">
        <f t="shared" si="20"/>
        <v>1792228</v>
      </c>
      <c r="K41" s="165">
        <f t="shared" si="21"/>
        <v>1892744</v>
      </c>
      <c r="L41" s="165">
        <f t="shared" si="22"/>
        <v>1847125</v>
      </c>
      <c r="M41" s="165">
        <f t="shared" si="23"/>
        <v>2032538</v>
      </c>
      <c r="N41" s="165" t="e">
        <f t="shared" si="24"/>
        <v>#REF!</v>
      </c>
      <c r="O41" s="166">
        <f t="shared" si="18"/>
        <v>1954084.2</v>
      </c>
      <c r="Q41" s="167">
        <f t="shared" si="10"/>
        <v>0.90188309872284889</v>
      </c>
      <c r="R41" s="167">
        <f t="shared" si="11"/>
        <v>0.87176431503461072</v>
      </c>
    </row>
    <row r="42" spans="1:18" x14ac:dyDescent="0.25">
      <c r="A42">
        <v>41</v>
      </c>
      <c r="B42" s="165">
        <v>12452</v>
      </c>
      <c r="C42" s="165">
        <v>27735</v>
      </c>
      <c r="D42" s="165">
        <v>29378</v>
      </c>
      <c r="E42" s="165">
        <v>13434</v>
      </c>
      <c r="F42" s="165">
        <v>29616</v>
      </c>
      <c r="G42" s="165" t="e">
        <f>#REF!</f>
        <v>#REF!</v>
      </c>
      <c r="I42" s="165">
        <f t="shared" si="19"/>
        <v>2218238</v>
      </c>
      <c r="J42" s="165">
        <f t="shared" si="20"/>
        <v>1819963</v>
      </c>
      <c r="K42" s="165">
        <f t="shared" si="21"/>
        <v>1922122</v>
      </c>
      <c r="L42" s="165">
        <f t="shared" si="22"/>
        <v>1860559</v>
      </c>
      <c r="M42" s="165">
        <f t="shared" si="23"/>
        <v>2062154</v>
      </c>
      <c r="N42" s="165" t="e">
        <f t="shared" si="24"/>
        <v>#REF!</v>
      </c>
      <c r="O42" s="166">
        <f t="shared" si="18"/>
        <v>1976607.2</v>
      </c>
      <c r="Q42" s="167">
        <f t="shared" si="10"/>
        <v>0.906974367025983</v>
      </c>
      <c r="R42" s="167">
        <f t="shared" si="11"/>
        <v>0.88525499996838308</v>
      </c>
    </row>
    <row r="43" spans="1:18" x14ac:dyDescent="0.25">
      <c r="A43">
        <v>42</v>
      </c>
      <c r="B43" s="165">
        <v>13558</v>
      </c>
      <c r="C43" s="165">
        <v>22109</v>
      </c>
      <c r="D43" s="165">
        <v>39741</v>
      </c>
      <c r="E43" s="165">
        <v>10290</v>
      </c>
      <c r="F43" s="165">
        <v>48535</v>
      </c>
      <c r="G43" s="165" t="e">
        <f>#REF!</f>
        <v>#REF!</v>
      </c>
      <c r="I43" s="165">
        <f t="shared" si="19"/>
        <v>2231796</v>
      </c>
      <c r="J43" s="165">
        <f t="shared" si="20"/>
        <v>1842072</v>
      </c>
      <c r="K43" s="165">
        <f t="shared" si="21"/>
        <v>1961863</v>
      </c>
      <c r="L43" s="165">
        <f t="shared" si="22"/>
        <v>1870849</v>
      </c>
      <c r="M43" s="165">
        <f t="shared" si="23"/>
        <v>2110689</v>
      </c>
      <c r="N43" s="165" t="e">
        <f t="shared" si="24"/>
        <v>#REF!</v>
      </c>
      <c r="O43" s="166">
        <f t="shared" si="18"/>
        <v>2003453.8</v>
      </c>
      <c r="Q43" s="167">
        <f t="shared" si="10"/>
        <v>0.9125178472423251</v>
      </c>
      <c r="R43" s="167">
        <f t="shared" si="11"/>
        <v>0.89600912123035437</v>
      </c>
    </row>
    <row r="44" spans="1:18" x14ac:dyDescent="0.25">
      <c r="A44">
        <v>43</v>
      </c>
      <c r="B44" s="165">
        <v>16123</v>
      </c>
      <c r="C44" s="165">
        <v>19963</v>
      </c>
      <c r="D44" s="165">
        <v>28173</v>
      </c>
      <c r="E44" s="165">
        <v>29405</v>
      </c>
      <c r="F44" s="165">
        <v>64260</v>
      </c>
      <c r="G44" s="165" t="e">
        <f>#REF!</f>
        <v>#REF!</v>
      </c>
      <c r="I44" s="165">
        <f t="shared" si="19"/>
        <v>2247919</v>
      </c>
      <c r="J44" s="165">
        <f t="shared" si="20"/>
        <v>1862035</v>
      </c>
      <c r="K44" s="165">
        <f t="shared" si="21"/>
        <v>1990036</v>
      </c>
      <c r="L44" s="165">
        <f t="shared" si="22"/>
        <v>1900254</v>
      </c>
      <c r="M44" s="165">
        <f t="shared" si="23"/>
        <v>2174949</v>
      </c>
      <c r="N44" s="165" t="e">
        <f t="shared" si="24"/>
        <v>#REF!</v>
      </c>
      <c r="O44" s="166">
        <f t="shared" si="18"/>
        <v>2035038.6</v>
      </c>
      <c r="Q44" s="167">
        <f t="shared" si="10"/>
        <v>0.91911008293550134</v>
      </c>
      <c r="R44" s="167">
        <f t="shared" si="11"/>
        <v>0.90571939861751494</v>
      </c>
    </row>
    <row r="45" spans="1:18" x14ac:dyDescent="0.25">
      <c r="A45">
        <v>44</v>
      </c>
      <c r="B45" s="165">
        <v>49340</v>
      </c>
      <c r="C45" s="165">
        <v>32967</v>
      </c>
      <c r="D45" s="165">
        <v>14286</v>
      </c>
      <c r="E45" s="165">
        <v>43796</v>
      </c>
      <c r="F45" s="165">
        <v>36450</v>
      </c>
      <c r="G45" s="165" t="e">
        <f>#REF!</f>
        <v>#REF!</v>
      </c>
      <c r="I45" s="165">
        <f t="shared" si="19"/>
        <v>2297259</v>
      </c>
      <c r="J45" s="165">
        <f t="shared" si="20"/>
        <v>1895002</v>
      </c>
      <c r="K45" s="165">
        <f t="shared" si="21"/>
        <v>2004322</v>
      </c>
      <c r="L45" s="165">
        <f t="shared" si="22"/>
        <v>1944050</v>
      </c>
      <c r="M45" s="165">
        <f t="shared" si="23"/>
        <v>2211399</v>
      </c>
      <c r="N45" s="165" t="e">
        <f t="shared" si="24"/>
        <v>#REF!</v>
      </c>
      <c r="O45" s="166">
        <f t="shared" si="18"/>
        <v>2070406.4</v>
      </c>
      <c r="Q45" s="167">
        <f t="shared" si="10"/>
        <v>0.93928380427156266</v>
      </c>
      <c r="R45" s="167">
        <f t="shared" si="11"/>
        <v>0.92175500021158996</v>
      </c>
    </row>
    <row r="46" spans="1:18" x14ac:dyDescent="0.25">
      <c r="A46">
        <v>45</v>
      </c>
      <c r="B46" s="165">
        <v>12141</v>
      </c>
      <c r="C46" s="165">
        <v>20140</v>
      </c>
      <c r="D46" s="165">
        <v>13766</v>
      </c>
      <c r="E46" s="165">
        <v>13596</v>
      </c>
      <c r="F46" s="165">
        <v>33237</v>
      </c>
      <c r="G46" s="165" t="e">
        <f>#REF!</f>
        <v>#REF!</v>
      </c>
      <c r="I46" s="165">
        <f t="shared" si="19"/>
        <v>2309400</v>
      </c>
      <c r="J46" s="165">
        <f t="shared" si="20"/>
        <v>1915142</v>
      </c>
      <c r="K46" s="165">
        <f t="shared" si="21"/>
        <v>2018088</v>
      </c>
      <c r="L46" s="165">
        <f t="shared" si="22"/>
        <v>1957646</v>
      </c>
      <c r="M46" s="165">
        <f t="shared" si="23"/>
        <v>2244636</v>
      </c>
      <c r="N46" s="165" t="e">
        <f t="shared" si="24"/>
        <v>#REF!</v>
      </c>
      <c r="O46" s="166">
        <f t="shared" si="18"/>
        <v>2088982.4</v>
      </c>
      <c r="Q46" s="167">
        <f t="shared" si="10"/>
        <v>0.94424791352857762</v>
      </c>
      <c r="R46" s="167">
        <f t="shared" si="11"/>
        <v>0.93155137282980427</v>
      </c>
    </row>
    <row r="47" spans="1:18" x14ac:dyDescent="0.25">
      <c r="A47">
        <v>46</v>
      </c>
      <c r="B47" s="165">
        <v>8571</v>
      </c>
      <c r="C47" s="165">
        <v>26106</v>
      </c>
      <c r="D47" s="165">
        <v>27679</v>
      </c>
      <c r="E47" s="165">
        <v>16059</v>
      </c>
      <c r="F47" s="165">
        <v>35051</v>
      </c>
      <c r="G47" s="165" t="e">
        <f>#REF!</f>
        <v>#REF!</v>
      </c>
      <c r="I47" s="165">
        <f t="shared" si="19"/>
        <v>2317971</v>
      </c>
      <c r="J47" s="165">
        <f t="shared" si="20"/>
        <v>1941248</v>
      </c>
      <c r="K47" s="165">
        <f t="shared" si="21"/>
        <v>2045767</v>
      </c>
      <c r="L47" s="165">
        <f t="shared" si="22"/>
        <v>1973705</v>
      </c>
      <c r="M47" s="165">
        <f t="shared" si="23"/>
        <v>2279687</v>
      </c>
      <c r="N47" s="165" t="e">
        <f t="shared" si="24"/>
        <v>#REF!</v>
      </c>
      <c r="O47" s="166">
        <f t="shared" si="18"/>
        <v>2111675.6</v>
      </c>
      <c r="Q47" s="167">
        <f t="shared" si="10"/>
        <v>0.94775235142017433</v>
      </c>
      <c r="R47" s="167">
        <f t="shared" si="11"/>
        <v>0.94424968978964063</v>
      </c>
    </row>
    <row r="48" spans="1:18" x14ac:dyDescent="0.25">
      <c r="A48">
        <v>47</v>
      </c>
      <c r="B48" s="165">
        <v>21048</v>
      </c>
      <c r="C48" s="165">
        <v>20407</v>
      </c>
      <c r="D48" s="165">
        <v>29265</v>
      </c>
      <c r="E48" s="165">
        <v>13841</v>
      </c>
      <c r="F48" s="165">
        <v>31043</v>
      </c>
      <c r="G48" s="165" t="e">
        <f>#REF!</f>
        <v>#REF!</v>
      </c>
      <c r="I48" s="165">
        <f t="shared" si="19"/>
        <v>2339019</v>
      </c>
      <c r="J48" s="165">
        <f t="shared" si="20"/>
        <v>1961655</v>
      </c>
      <c r="K48" s="165">
        <f t="shared" si="21"/>
        <v>2075032</v>
      </c>
      <c r="L48" s="165">
        <f t="shared" si="22"/>
        <v>1987546</v>
      </c>
      <c r="M48" s="165">
        <f t="shared" si="23"/>
        <v>2310730</v>
      </c>
      <c r="N48" s="165" t="e">
        <f t="shared" si="24"/>
        <v>#REF!</v>
      </c>
      <c r="O48" s="166">
        <f t="shared" si="18"/>
        <v>2134796.4</v>
      </c>
      <c r="Q48" s="167">
        <f t="shared" si="10"/>
        <v>0.95635827940317841</v>
      </c>
      <c r="R48" s="167">
        <f t="shared" si="11"/>
        <v>0.95417593487503793</v>
      </c>
    </row>
    <row r="49" spans="1:18" x14ac:dyDescent="0.25">
      <c r="A49">
        <v>48</v>
      </c>
      <c r="B49" s="165">
        <v>36730</v>
      </c>
      <c r="C49" s="165">
        <v>20198</v>
      </c>
      <c r="D49" s="165">
        <v>14531</v>
      </c>
      <c r="E49" s="165">
        <v>13263</v>
      </c>
      <c r="F49" s="165">
        <v>33992</v>
      </c>
      <c r="G49" s="165" t="e">
        <f>#REF!</f>
        <v>#REF!</v>
      </c>
      <c r="I49" s="165">
        <f t="shared" si="19"/>
        <v>2375749</v>
      </c>
      <c r="J49" s="165">
        <f t="shared" si="20"/>
        <v>1981853</v>
      </c>
      <c r="K49" s="165">
        <f t="shared" si="21"/>
        <v>2089563</v>
      </c>
      <c r="L49" s="165">
        <f t="shared" si="22"/>
        <v>2000809</v>
      </c>
      <c r="M49" s="165">
        <f t="shared" si="23"/>
        <v>2344722</v>
      </c>
      <c r="N49" s="165" t="e">
        <f t="shared" si="24"/>
        <v>#REF!</v>
      </c>
      <c r="O49" s="166">
        <f t="shared" si="18"/>
        <v>2158539.2000000002</v>
      </c>
      <c r="Q49" s="167">
        <f t="shared" si="10"/>
        <v>0.9713761307342188</v>
      </c>
      <c r="R49" s="167">
        <f t="shared" si="11"/>
        <v>0.96400051948986876</v>
      </c>
    </row>
    <row r="50" spans="1:18" x14ac:dyDescent="0.25">
      <c r="A50">
        <v>49</v>
      </c>
      <c r="B50" s="165">
        <v>8547</v>
      </c>
      <c r="C50" s="165">
        <v>17540</v>
      </c>
      <c r="D50" s="165">
        <v>56594</v>
      </c>
      <c r="E50" s="165">
        <v>18343</v>
      </c>
      <c r="F50" s="165">
        <v>30756</v>
      </c>
      <c r="G50" s="165" t="e">
        <f>#REF!</f>
        <v>#REF!</v>
      </c>
      <c r="I50" s="165">
        <f t="shared" si="19"/>
        <v>2384296</v>
      </c>
      <c r="J50" s="165">
        <f t="shared" si="20"/>
        <v>1999393</v>
      </c>
      <c r="K50" s="165">
        <f t="shared" si="21"/>
        <v>2146157</v>
      </c>
      <c r="L50" s="165">
        <f t="shared" si="22"/>
        <v>2019152</v>
      </c>
      <c r="M50" s="165">
        <f t="shared" si="23"/>
        <v>2375478</v>
      </c>
      <c r="N50" s="165" t="e">
        <f t="shared" si="24"/>
        <v>#REF!</v>
      </c>
      <c r="O50" s="166">
        <f t="shared" si="18"/>
        <v>2184895.2000000002</v>
      </c>
      <c r="Q50" s="167">
        <f t="shared" si="10"/>
        <v>0.97487075570907322</v>
      </c>
      <c r="R50" s="167">
        <f t="shared" si="11"/>
        <v>0.97253221639768794</v>
      </c>
    </row>
    <row r="51" spans="1:18" x14ac:dyDescent="0.25">
      <c r="A51">
        <v>50</v>
      </c>
      <c r="B51" s="165">
        <v>7370</v>
      </c>
      <c r="C51" s="165">
        <v>17653</v>
      </c>
      <c r="D51" s="165">
        <v>18943</v>
      </c>
      <c r="E51" s="165">
        <v>14877</v>
      </c>
      <c r="F51" s="165">
        <v>47830</v>
      </c>
      <c r="G51" s="165" t="e">
        <f>#REF!</f>
        <v>#REF!</v>
      </c>
      <c r="I51" s="165">
        <f t="shared" si="19"/>
        <v>2391666</v>
      </c>
      <c r="J51" s="165">
        <f t="shared" si="20"/>
        <v>2017046</v>
      </c>
      <c r="K51" s="165">
        <f t="shared" si="21"/>
        <v>2165100</v>
      </c>
      <c r="L51" s="165">
        <f t="shared" si="22"/>
        <v>2034029</v>
      </c>
      <c r="M51" s="165">
        <f t="shared" si="23"/>
        <v>2423308</v>
      </c>
      <c r="N51" s="165" t="e">
        <f t="shared" si="24"/>
        <v>#REF!</v>
      </c>
      <c r="O51" s="166">
        <f t="shared" si="18"/>
        <v>2206229.7999999998</v>
      </c>
      <c r="Q51" s="167">
        <f t="shared" si="10"/>
        <v>0.97788413889202352</v>
      </c>
      <c r="R51" s="167">
        <f t="shared" si="11"/>
        <v>0.98111887805753595</v>
      </c>
    </row>
    <row r="52" spans="1:18" x14ac:dyDescent="0.25">
      <c r="A52">
        <v>51</v>
      </c>
      <c r="B52" s="165">
        <v>9448</v>
      </c>
      <c r="C52" s="165">
        <v>13877</v>
      </c>
      <c r="D52" s="165">
        <v>14289</v>
      </c>
      <c r="E52" s="165">
        <v>11637</v>
      </c>
      <c r="F52" s="165">
        <v>25932</v>
      </c>
      <c r="G52" s="165" t="e">
        <f>#REF!</f>
        <v>#REF!</v>
      </c>
      <c r="I52" s="165">
        <f t="shared" si="19"/>
        <v>2401114</v>
      </c>
      <c r="J52" s="165">
        <f t="shared" si="20"/>
        <v>2030923</v>
      </c>
      <c r="K52" s="165">
        <f t="shared" si="21"/>
        <v>2179389</v>
      </c>
      <c r="L52" s="165">
        <f t="shared" si="22"/>
        <v>2045666</v>
      </c>
      <c r="M52" s="165">
        <f t="shared" si="23"/>
        <v>2449240</v>
      </c>
      <c r="N52" s="165" t="e">
        <f t="shared" si="24"/>
        <v>#REF!</v>
      </c>
      <c r="O52" s="166">
        <f t="shared" si="18"/>
        <v>2221266.4</v>
      </c>
      <c r="Q52" s="167">
        <f t="shared" si="10"/>
        <v>0.98174715711624549</v>
      </c>
      <c r="R52" s="167">
        <f t="shared" si="11"/>
        <v>0.98786884145490239</v>
      </c>
    </row>
    <row r="53" spans="1:18" x14ac:dyDescent="0.25">
      <c r="A53">
        <v>52</v>
      </c>
      <c r="B53" s="165">
        <v>44642</v>
      </c>
      <c r="C53" s="165">
        <v>24940</v>
      </c>
      <c r="D53" s="165">
        <v>109445</v>
      </c>
      <c r="E53" s="165">
        <v>24800</v>
      </c>
      <c r="F53" s="165">
        <v>45980</v>
      </c>
      <c r="G53" s="165" t="e">
        <f>#REF!</f>
        <v>#REF!</v>
      </c>
      <c r="I53" s="165">
        <f t="shared" si="19"/>
        <v>2445756</v>
      </c>
      <c r="J53" s="165">
        <f t="shared" si="20"/>
        <v>2055863</v>
      </c>
      <c r="K53" s="165">
        <f t="shared" si="21"/>
        <v>2288834</v>
      </c>
      <c r="L53" s="165">
        <f t="shared" si="22"/>
        <v>2070466</v>
      </c>
      <c r="M53" s="165">
        <f t="shared" si="23"/>
        <v>2495220</v>
      </c>
      <c r="N53" s="165" t="e">
        <f t="shared" si="24"/>
        <v>#REF!</v>
      </c>
      <c r="O53" s="166">
        <f t="shared" si="18"/>
        <v>2271227.7999999998</v>
      </c>
      <c r="Q53" s="167">
        <f t="shared" si="10"/>
        <v>1</v>
      </c>
      <c r="R53" s="167">
        <f t="shared" si="11"/>
        <v>1</v>
      </c>
    </row>
    <row r="54" spans="1:18" x14ac:dyDescent="0.25">
      <c r="B54" s="165"/>
      <c r="C54" s="165"/>
      <c r="D54" s="165"/>
      <c r="E54" s="165"/>
      <c r="F54" s="165">
        <v>45946</v>
      </c>
      <c r="G54" s="165" t="e">
        <f>#REF!</f>
        <v>#REF!</v>
      </c>
    </row>
    <row r="55" spans="1:18" x14ac:dyDescent="0.25">
      <c r="B55" s="166">
        <f>SUM(B2:B54)</f>
        <v>2445756</v>
      </c>
      <c r="C55" s="166">
        <f>SUM(C2:C54)</f>
        <v>2055863</v>
      </c>
      <c r="D55" s="166">
        <f>SUM(D2:D54)</f>
        <v>2288834</v>
      </c>
      <c r="E55" s="166">
        <f>SUM(E2:E54)</f>
        <v>2070466</v>
      </c>
      <c r="F55" s="166">
        <f>SUM(F2:F54)</f>
        <v>2541166</v>
      </c>
      <c r="I55" s="165">
        <v>2445756</v>
      </c>
      <c r="J55" s="165">
        <v>2055863</v>
      </c>
      <c r="K55" s="165">
        <v>2288834</v>
      </c>
      <c r="L55" s="165">
        <v>2070466</v>
      </c>
      <c r="M55" s="165">
        <v>2541166</v>
      </c>
      <c r="N55" s="165">
        <v>2500000</v>
      </c>
      <c r="O55" s="165">
        <f>AVERAGE(I55:M55)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68" customFormat="1" ht="15.6" x14ac:dyDescent="0.3">
      <c r="A1" s="67" t="s">
        <v>156</v>
      </c>
    </row>
    <row r="2" spans="1:2" s="68" customFormat="1" ht="15.6" x14ac:dyDescent="0.3">
      <c r="A2" s="67" t="s">
        <v>149</v>
      </c>
    </row>
    <row r="3" spans="1:2" s="68" customFormat="1" ht="15" x14ac:dyDescent="0.25"/>
    <row r="4" spans="1:2" s="68" customFormat="1" ht="15" x14ac:dyDescent="0.25">
      <c r="A4" s="121" t="s">
        <v>127</v>
      </c>
      <c r="B4" s="97" t="e">
        <f>#REF!</f>
        <v>#REF!</v>
      </c>
    </row>
    <row r="5" spans="1:2" s="68" customFormat="1" ht="15" x14ac:dyDescent="0.25">
      <c r="A5" s="121" t="s">
        <v>123</v>
      </c>
      <c r="B5" s="69" t="e">
        <f>B4</f>
        <v>#REF!</v>
      </c>
    </row>
    <row r="6" spans="1:2" s="68" customFormat="1" ht="15" x14ac:dyDescent="0.25">
      <c r="A6" s="121"/>
      <c r="B6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68" customFormat="1" ht="15.6" x14ac:dyDescent="0.3">
      <c r="A1" s="67" t="s">
        <v>154</v>
      </c>
    </row>
    <row r="2" spans="1:8" s="68" customFormat="1" ht="15.6" x14ac:dyDescent="0.3">
      <c r="A2" s="67" t="s">
        <v>149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160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161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148</v>
      </c>
      <c r="D10" s="130" t="s">
        <v>203</v>
      </c>
      <c r="E10" s="130" t="s">
        <v>210</v>
      </c>
      <c r="F10" s="130" t="s">
        <v>147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87</v>
      </c>
      <c r="D12" s="131">
        <v>0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392</v>
      </c>
      <c r="D14" s="131">
        <v>0</v>
      </c>
      <c r="E14" s="131">
        <v>0</v>
      </c>
      <c r="F14" s="131">
        <v>0</v>
      </c>
      <c r="G14" s="132">
        <f t="shared" si="0"/>
        <v>392</v>
      </c>
      <c r="H14" s="132">
        <f t="shared" si="1"/>
        <v>479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2">
        <f t="shared" si="0"/>
        <v>0</v>
      </c>
      <c r="H15" s="132">
        <f t="shared" si="1"/>
        <v>479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479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2">
        <f t="shared" si="0"/>
        <v>0</v>
      </c>
      <c r="H17" s="132">
        <f t="shared" si="1"/>
        <v>479</v>
      </c>
    </row>
    <row r="18" spans="1:8" x14ac:dyDescent="0.25">
      <c r="A18" s="129">
        <v>8</v>
      </c>
      <c r="B18" s="129" t="s">
        <v>138</v>
      </c>
      <c r="C18" s="131">
        <v>131</v>
      </c>
      <c r="D18" s="131">
        <v>0</v>
      </c>
      <c r="E18" s="131">
        <v>0</v>
      </c>
      <c r="F18" s="131">
        <v>0</v>
      </c>
      <c r="G18" s="132">
        <f t="shared" si="0"/>
        <v>131</v>
      </c>
      <c r="H18" s="132">
        <f t="shared" si="1"/>
        <v>610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610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610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610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610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610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610</v>
      </c>
    </row>
    <row r="25" spans="1:8" x14ac:dyDescent="0.25">
      <c r="A25" s="129">
        <v>15</v>
      </c>
      <c r="B25" s="129" t="s">
        <v>151</v>
      </c>
      <c r="C25" s="131">
        <v>260</v>
      </c>
      <c r="D25" s="131">
        <v>0</v>
      </c>
      <c r="E25" s="131">
        <v>0</v>
      </c>
      <c r="F25" s="131">
        <v>0</v>
      </c>
      <c r="G25" s="132">
        <f t="shared" si="0"/>
        <v>260</v>
      </c>
      <c r="H25" s="132">
        <f t="shared" si="1"/>
        <v>870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870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0</v>
      </c>
      <c r="F27" s="131">
        <v>0</v>
      </c>
      <c r="G27" s="132">
        <f t="shared" si="0"/>
        <v>0</v>
      </c>
      <c r="H27" s="132">
        <f t="shared" si="1"/>
        <v>870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870</v>
      </c>
    </row>
    <row r="29" spans="1:8" x14ac:dyDescent="0.25">
      <c r="A29" s="129">
        <v>19</v>
      </c>
      <c r="B29" s="129" t="s">
        <v>170</v>
      </c>
      <c r="C29" s="131">
        <v>143</v>
      </c>
      <c r="D29" s="131">
        <v>0</v>
      </c>
      <c r="E29" s="131">
        <v>0</v>
      </c>
      <c r="F29" s="131">
        <v>0</v>
      </c>
      <c r="G29" s="132">
        <f t="shared" si="0"/>
        <v>143</v>
      </c>
      <c r="H29" s="132">
        <f t="shared" si="1"/>
        <v>1013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1013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1013</v>
      </c>
    </row>
    <row r="32" spans="1:8" x14ac:dyDescent="0.25">
      <c r="A32" s="129">
        <v>22</v>
      </c>
      <c r="B32" s="129" t="s">
        <v>173</v>
      </c>
      <c r="C32" s="131">
        <v>111</v>
      </c>
      <c r="D32" s="131">
        <v>0</v>
      </c>
      <c r="E32" s="131">
        <v>0</v>
      </c>
      <c r="F32" s="131">
        <v>0</v>
      </c>
      <c r="G32" s="132">
        <f t="shared" si="0"/>
        <v>111</v>
      </c>
      <c r="H32" s="132">
        <f t="shared" si="1"/>
        <v>1124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2">
        <f t="shared" si="0"/>
        <v>0</v>
      </c>
      <c r="H33" s="132">
        <f t="shared" si="1"/>
        <v>1124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1124</v>
      </c>
    </row>
    <row r="35" spans="1:8" x14ac:dyDescent="0.25">
      <c r="A35" s="129">
        <v>25</v>
      </c>
      <c r="B35" s="129" t="s">
        <v>176</v>
      </c>
      <c r="C35" s="131">
        <v>1022</v>
      </c>
      <c r="D35" s="131">
        <v>8294</v>
      </c>
      <c r="E35" s="131">
        <v>0</v>
      </c>
      <c r="F35" s="131">
        <v>0</v>
      </c>
      <c r="G35" s="132">
        <f t="shared" si="0"/>
        <v>9316</v>
      </c>
      <c r="H35" s="132">
        <f t="shared" si="1"/>
        <v>10440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0</v>
      </c>
      <c r="E36" s="131">
        <v>0</v>
      </c>
      <c r="F36" s="131">
        <v>0</v>
      </c>
      <c r="G36" s="132">
        <f t="shared" si="0"/>
        <v>0</v>
      </c>
      <c r="H36" s="132">
        <f t="shared" si="1"/>
        <v>10440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10440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10440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10440</v>
      </c>
    </row>
    <row r="40" spans="1:8" x14ac:dyDescent="0.25">
      <c r="A40" s="129">
        <v>30</v>
      </c>
      <c r="B40" s="129" t="s">
        <v>183</v>
      </c>
      <c r="C40" s="131">
        <v>0</v>
      </c>
      <c r="D40" s="131">
        <v>0</v>
      </c>
      <c r="E40" s="131">
        <v>0</v>
      </c>
      <c r="F40" s="131">
        <v>0</v>
      </c>
      <c r="G40" s="132">
        <f t="shared" si="0"/>
        <v>0</v>
      </c>
      <c r="H40" s="132">
        <f t="shared" si="1"/>
        <v>10440</v>
      </c>
    </row>
    <row r="41" spans="1:8" x14ac:dyDescent="0.25">
      <c r="A41" s="129">
        <v>31</v>
      </c>
      <c r="B41" s="129" t="s">
        <v>185</v>
      </c>
      <c r="C41" s="131">
        <v>374</v>
      </c>
      <c r="D41" s="131">
        <v>0</v>
      </c>
      <c r="E41" s="131">
        <v>0</v>
      </c>
      <c r="F41" s="131">
        <v>0</v>
      </c>
      <c r="G41" s="132">
        <f t="shared" si="0"/>
        <v>374</v>
      </c>
      <c r="H41" s="132">
        <f t="shared" si="1"/>
        <v>10814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10814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10814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10814</v>
      </c>
    </row>
    <row r="45" spans="1:8" x14ac:dyDescent="0.25">
      <c r="A45" s="129" t="s">
        <v>197</v>
      </c>
      <c r="B45" s="129" t="s">
        <v>189</v>
      </c>
      <c r="C45" s="131">
        <v>141</v>
      </c>
      <c r="D45" s="131">
        <v>0</v>
      </c>
      <c r="E45" s="131">
        <v>0</v>
      </c>
      <c r="F45" s="131">
        <v>0</v>
      </c>
      <c r="G45" s="132">
        <f t="shared" si="0"/>
        <v>141</v>
      </c>
      <c r="H45" s="132">
        <f t="shared" si="1"/>
        <v>10955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2">
        <f t="shared" si="0"/>
        <v>0</v>
      </c>
      <c r="H46" s="132">
        <f t="shared" si="1"/>
        <v>10955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2">
        <f t="shared" si="0"/>
        <v>0</v>
      </c>
      <c r="H47" s="132">
        <f t="shared" si="1"/>
        <v>10955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0</v>
      </c>
      <c r="G48" s="132">
        <f t="shared" si="0"/>
        <v>0</v>
      </c>
      <c r="H48" s="132">
        <f t="shared" si="1"/>
        <v>10955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0</v>
      </c>
      <c r="E49" s="131">
        <v>0</v>
      </c>
      <c r="F49" s="131">
        <v>0</v>
      </c>
      <c r="G49" s="132">
        <f t="shared" si="0"/>
        <v>0</v>
      </c>
      <c r="H49" s="132">
        <f t="shared" si="1"/>
        <v>10955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149</v>
      </c>
      <c r="F50" s="131">
        <v>0</v>
      </c>
      <c r="G50" s="132">
        <f t="shared" si="0"/>
        <v>149</v>
      </c>
      <c r="H50" s="132">
        <f t="shared" si="1"/>
        <v>11104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11104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11104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0</v>
      </c>
      <c r="E53" s="131">
        <v>0</v>
      </c>
      <c r="F53" s="131">
        <v>0</v>
      </c>
      <c r="G53" s="132">
        <f t="shared" si="0"/>
        <v>0</v>
      </c>
      <c r="H53" s="132">
        <f t="shared" si="1"/>
        <v>11104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11104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429</v>
      </c>
      <c r="G55" s="132">
        <f t="shared" si="0"/>
        <v>429</v>
      </c>
      <c r="H55" s="132">
        <f t="shared" si="1"/>
        <v>11533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11533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11533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11533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11533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11533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11533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11533</v>
      </c>
    </row>
    <row r="63" spans="1:8" x14ac:dyDescent="0.25">
      <c r="A63" s="129" t="s">
        <v>116</v>
      </c>
      <c r="B63" s="129" t="s">
        <v>117</v>
      </c>
      <c r="C63" s="132">
        <f>SUM(C11:C62)</f>
        <v>2661</v>
      </c>
      <c r="D63" s="132">
        <f>SUM(D11:D62)</f>
        <v>8294</v>
      </c>
      <c r="E63" s="132">
        <f>SUM(E11:E62)</f>
        <v>149</v>
      </c>
      <c r="F63" s="132">
        <f>SUM(F11:F62)</f>
        <v>429</v>
      </c>
      <c r="G63" s="132">
        <f>SUM(G11:G62)</f>
        <v>11533</v>
      </c>
      <c r="H63" s="132"/>
    </row>
    <row r="65" spans="1:1" x14ac:dyDescent="0.25">
      <c r="A65" t="s">
        <v>219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68" customFormat="1" ht="15.6" x14ac:dyDescent="0.3">
      <c r="A1" s="67" t="s">
        <v>164</v>
      </c>
    </row>
    <row r="2" spans="1:11" s="68" customFormat="1" ht="15.6" x14ac:dyDescent="0.3">
      <c r="A2" s="67" t="s">
        <v>165</v>
      </c>
    </row>
    <row r="3" spans="1:11" s="68" customFormat="1" ht="15" x14ac:dyDescent="0.25"/>
    <row r="4" spans="1:11" s="68" customFormat="1" ht="15" x14ac:dyDescent="0.25">
      <c r="A4" s="121" t="s">
        <v>127</v>
      </c>
      <c r="B4" s="97" t="e">
        <f>#REF!</f>
        <v>#REF!</v>
      </c>
    </row>
    <row r="5" spans="1:11" s="68" customFormat="1" ht="15" x14ac:dyDescent="0.25">
      <c r="A5" s="121" t="s">
        <v>123</v>
      </c>
      <c r="B5" s="69" t="e">
        <f>B4</f>
        <v>#REF!</v>
      </c>
    </row>
    <row r="7" spans="1:11" ht="15.6" x14ac:dyDescent="0.3">
      <c r="A7" s="232" t="s">
        <v>215</v>
      </c>
      <c r="B7" s="233"/>
      <c r="C7" s="233"/>
      <c r="D7" s="233"/>
      <c r="E7" s="233"/>
      <c r="F7" s="233"/>
      <c r="G7" s="233"/>
      <c r="H7" s="233"/>
      <c r="I7" s="233"/>
      <c r="J7" s="233"/>
      <c r="K7" s="234"/>
    </row>
    <row r="8" spans="1:11" ht="15.6" x14ac:dyDescent="0.3">
      <c r="A8" s="232" t="s">
        <v>199</v>
      </c>
      <c r="B8" s="233"/>
      <c r="C8" s="233"/>
      <c r="D8" s="233"/>
      <c r="E8" s="233"/>
      <c r="F8" s="233"/>
      <c r="G8" s="233"/>
      <c r="H8" s="233"/>
      <c r="I8" s="233"/>
      <c r="J8" s="233"/>
      <c r="K8" s="234"/>
    </row>
    <row r="9" spans="1:11" x14ac:dyDescent="0.25">
      <c r="A9" s="235" t="s">
        <v>116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x14ac:dyDescent="0.25">
      <c r="A10" s="130"/>
      <c r="B10" s="130" t="s">
        <v>114</v>
      </c>
      <c r="C10" s="130" t="s">
        <v>216</v>
      </c>
      <c r="D10" s="130" t="s">
        <v>162</v>
      </c>
      <c r="E10" s="130" t="s">
        <v>177</v>
      </c>
      <c r="F10" s="130" t="s">
        <v>166</v>
      </c>
      <c r="G10" s="130" t="s">
        <v>167</v>
      </c>
      <c r="H10" s="130" t="s">
        <v>212</v>
      </c>
      <c r="I10" s="130" t="s">
        <v>163</v>
      </c>
      <c r="J10" s="130" t="s">
        <v>142</v>
      </c>
      <c r="K10" s="130" t="s">
        <v>142</v>
      </c>
    </row>
    <row r="11" spans="1:11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2">
        <f t="shared" ref="J11:J62" si="0">SUM(C11:I11)</f>
        <v>0</v>
      </c>
      <c r="K11" s="132">
        <f>J11</f>
        <v>0</v>
      </c>
    </row>
    <row r="12" spans="1:11" x14ac:dyDescent="0.25">
      <c r="A12" s="129">
        <v>2</v>
      </c>
      <c r="B12" s="129" t="s">
        <v>132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136</v>
      </c>
      <c r="J12" s="132">
        <f t="shared" si="0"/>
        <v>136</v>
      </c>
      <c r="K12" s="132">
        <f t="shared" ref="K12:K62" si="1">J12+K11</f>
        <v>136</v>
      </c>
    </row>
    <row r="13" spans="1:11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483</v>
      </c>
      <c r="J13" s="132">
        <f t="shared" si="0"/>
        <v>483</v>
      </c>
      <c r="K13" s="132">
        <f t="shared" si="1"/>
        <v>619</v>
      </c>
    </row>
    <row r="14" spans="1:11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515</v>
      </c>
      <c r="J14" s="132">
        <f t="shared" si="0"/>
        <v>515</v>
      </c>
      <c r="K14" s="132">
        <f t="shared" si="1"/>
        <v>1134</v>
      </c>
    </row>
    <row r="15" spans="1:11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2">
        <f t="shared" si="0"/>
        <v>0</v>
      </c>
      <c r="K15" s="132">
        <f t="shared" si="1"/>
        <v>1134</v>
      </c>
    </row>
    <row r="16" spans="1:11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957</v>
      </c>
      <c r="J16" s="132">
        <f t="shared" si="0"/>
        <v>957</v>
      </c>
      <c r="K16" s="132">
        <f t="shared" si="1"/>
        <v>2091</v>
      </c>
    </row>
    <row r="17" spans="1:11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2">
        <f t="shared" si="0"/>
        <v>0</v>
      </c>
      <c r="K17" s="132">
        <f t="shared" si="1"/>
        <v>2091</v>
      </c>
    </row>
    <row r="18" spans="1:11" x14ac:dyDescent="0.25">
      <c r="A18" s="129">
        <v>8</v>
      </c>
      <c r="B18" s="129" t="s">
        <v>138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1240</v>
      </c>
      <c r="J18" s="132">
        <f t="shared" si="0"/>
        <v>1240</v>
      </c>
      <c r="K18" s="132">
        <f t="shared" si="1"/>
        <v>3331</v>
      </c>
    </row>
    <row r="19" spans="1:11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2">
        <f t="shared" si="0"/>
        <v>0</v>
      </c>
      <c r="K19" s="132">
        <f t="shared" si="1"/>
        <v>3331</v>
      </c>
    </row>
    <row r="20" spans="1:11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2">
        <f t="shared" si="0"/>
        <v>0</v>
      </c>
      <c r="K20" s="132">
        <f t="shared" si="1"/>
        <v>3331</v>
      </c>
    </row>
    <row r="21" spans="1:11" x14ac:dyDescent="0.25">
      <c r="A21" s="129">
        <v>11</v>
      </c>
      <c r="B21" s="129" t="s">
        <v>141</v>
      </c>
      <c r="C21" s="131">
        <v>0</v>
      </c>
      <c r="D21" s="131">
        <v>529</v>
      </c>
      <c r="E21" s="131">
        <v>0</v>
      </c>
      <c r="F21" s="131">
        <v>0</v>
      </c>
      <c r="G21" s="131">
        <v>0</v>
      </c>
      <c r="H21" s="131">
        <v>0</v>
      </c>
      <c r="I21" s="131">
        <v>4993</v>
      </c>
      <c r="J21" s="132">
        <f t="shared" si="0"/>
        <v>5522</v>
      </c>
      <c r="K21" s="132">
        <f t="shared" si="1"/>
        <v>8853</v>
      </c>
    </row>
    <row r="22" spans="1:11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2">
        <f t="shared" si="0"/>
        <v>0</v>
      </c>
      <c r="K22" s="132">
        <f t="shared" si="1"/>
        <v>8853</v>
      </c>
    </row>
    <row r="23" spans="1:11" x14ac:dyDescent="0.25">
      <c r="A23" s="129">
        <v>13</v>
      </c>
      <c r="B23" s="129" t="s">
        <v>146</v>
      </c>
      <c r="C23" s="131">
        <v>0</v>
      </c>
      <c r="D23" s="131">
        <v>3080</v>
      </c>
      <c r="E23" s="131">
        <v>0</v>
      </c>
      <c r="F23" s="131">
        <v>0</v>
      </c>
      <c r="G23" s="131">
        <v>0</v>
      </c>
      <c r="H23" s="131">
        <v>0</v>
      </c>
      <c r="I23" s="131">
        <v>7</v>
      </c>
      <c r="J23" s="132">
        <f t="shared" si="0"/>
        <v>3087</v>
      </c>
      <c r="K23" s="132">
        <f t="shared" si="1"/>
        <v>11940</v>
      </c>
    </row>
    <row r="24" spans="1:11" x14ac:dyDescent="0.25">
      <c r="A24" s="129">
        <v>14</v>
      </c>
      <c r="B24" s="129" t="s">
        <v>150</v>
      </c>
      <c r="C24" s="131">
        <v>0</v>
      </c>
      <c r="D24" s="131">
        <v>4366</v>
      </c>
      <c r="E24" s="131">
        <v>0</v>
      </c>
      <c r="F24" s="131">
        <v>0</v>
      </c>
      <c r="G24" s="131">
        <v>0</v>
      </c>
      <c r="H24" s="131">
        <v>0</v>
      </c>
      <c r="I24" s="131">
        <v>4183</v>
      </c>
      <c r="J24" s="132">
        <f t="shared" si="0"/>
        <v>8549</v>
      </c>
      <c r="K24" s="132">
        <f t="shared" si="1"/>
        <v>20489</v>
      </c>
    </row>
    <row r="25" spans="1:11" x14ac:dyDescent="0.25">
      <c r="A25" s="129">
        <v>15</v>
      </c>
      <c r="B25" s="129" t="s">
        <v>151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2">
        <f t="shared" si="0"/>
        <v>0</v>
      </c>
      <c r="K25" s="132">
        <f t="shared" si="1"/>
        <v>20489</v>
      </c>
    </row>
    <row r="26" spans="1:11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8116</v>
      </c>
      <c r="J26" s="132">
        <f t="shared" si="0"/>
        <v>8116</v>
      </c>
      <c r="K26" s="132">
        <f t="shared" si="1"/>
        <v>28605</v>
      </c>
    </row>
    <row r="27" spans="1:11" x14ac:dyDescent="0.25">
      <c r="A27" s="129">
        <v>17</v>
      </c>
      <c r="B27" s="129" t="s">
        <v>158</v>
      </c>
      <c r="C27" s="131">
        <v>0</v>
      </c>
      <c r="D27" s="131">
        <v>749</v>
      </c>
      <c r="E27" s="131">
        <v>0</v>
      </c>
      <c r="F27" s="131">
        <v>0</v>
      </c>
      <c r="G27" s="131">
        <v>0</v>
      </c>
      <c r="H27" s="131">
        <v>0</v>
      </c>
      <c r="I27" s="131">
        <v>8613</v>
      </c>
      <c r="J27" s="132">
        <f t="shared" si="0"/>
        <v>9362</v>
      </c>
      <c r="K27" s="132">
        <f t="shared" si="1"/>
        <v>37967</v>
      </c>
    </row>
    <row r="28" spans="1:11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7858</v>
      </c>
      <c r="J28" s="132">
        <f t="shared" si="0"/>
        <v>7858</v>
      </c>
      <c r="K28" s="132">
        <f t="shared" si="1"/>
        <v>45825</v>
      </c>
    </row>
    <row r="29" spans="1:11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5356</v>
      </c>
      <c r="J29" s="132">
        <f t="shared" si="0"/>
        <v>5356</v>
      </c>
      <c r="K29" s="132">
        <f t="shared" si="1"/>
        <v>51181</v>
      </c>
    </row>
    <row r="30" spans="1:11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3639</v>
      </c>
      <c r="J30" s="132">
        <f t="shared" si="0"/>
        <v>3639</v>
      </c>
      <c r="K30" s="132">
        <f t="shared" si="1"/>
        <v>54820</v>
      </c>
    </row>
    <row r="31" spans="1:11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4297</v>
      </c>
      <c r="J31" s="132">
        <f t="shared" si="0"/>
        <v>4297</v>
      </c>
      <c r="K31" s="132">
        <f t="shared" si="1"/>
        <v>59117</v>
      </c>
    </row>
    <row r="32" spans="1:11" x14ac:dyDescent="0.25">
      <c r="A32" s="129">
        <v>22</v>
      </c>
      <c r="B32" s="129" t="s">
        <v>173</v>
      </c>
      <c r="C32" s="131">
        <v>0</v>
      </c>
      <c r="D32" s="131">
        <v>2369</v>
      </c>
      <c r="E32" s="131">
        <v>68</v>
      </c>
      <c r="F32" s="131">
        <v>0</v>
      </c>
      <c r="G32" s="131">
        <v>0</v>
      </c>
      <c r="H32" s="131">
        <v>0</v>
      </c>
      <c r="I32" s="131">
        <v>8532</v>
      </c>
      <c r="J32" s="132">
        <f t="shared" si="0"/>
        <v>10969</v>
      </c>
      <c r="K32" s="132">
        <f t="shared" si="1"/>
        <v>70086</v>
      </c>
    </row>
    <row r="33" spans="1:11" x14ac:dyDescent="0.25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10</v>
      </c>
      <c r="J33" s="132">
        <f t="shared" si="0"/>
        <v>10</v>
      </c>
      <c r="K33" s="132">
        <f t="shared" si="1"/>
        <v>70096</v>
      </c>
    </row>
    <row r="34" spans="1:11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1184</v>
      </c>
      <c r="J34" s="132">
        <f t="shared" si="0"/>
        <v>1184</v>
      </c>
      <c r="K34" s="132">
        <f t="shared" si="1"/>
        <v>71280</v>
      </c>
    </row>
    <row r="35" spans="1:11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3085</v>
      </c>
      <c r="J35" s="132">
        <f t="shared" si="0"/>
        <v>3085</v>
      </c>
      <c r="K35" s="132">
        <f t="shared" si="1"/>
        <v>74365</v>
      </c>
    </row>
    <row r="36" spans="1:11" x14ac:dyDescent="0.25">
      <c r="A36" s="129">
        <v>26</v>
      </c>
      <c r="B36" s="129" t="s">
        <v>178</v>
      </c>
      <c r="C36" s="131">
        <v>0</v>
      </c>
      <c r="D36" s="131">
        <v>1760</v>
      </c>
      <c r="E36" s="131">
        <v>0</v>
      </c>
      <c r="F36" s="131">
        <v>0</v>
      </c>
      <c r="G36" s="131">
        <v>0</v>
      </c>
      <c r="H36" s="131">
        <v>0</v>
      </c>
      <c r="I36" s="131">
        <v>11964</v>
      </c>
      <c r="J36" s="132">
        <f t="shared" si="0"/>
        <v>13724</v>
      </c>
      <c r="K36" s="132">
        <f t="shared" si="1"/>
        <v>88089</v>
      </c>
    </row>
    <row r="37" spans="1:11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1973</v>
      </c>
      <c r="J37" s="132">
        <f t="shared" si="0"/>
        <v>1973</v>
      </c>
      <c r="K37" s="132">
        <f t="shared" si="1"/>
        <v>90062</v>
      </c>
    </row>
    <row r="38" spans="1:11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470</v>
      </c>
      <c r="J38" s="132">
        <f t="shared" si="0"/>
        <v>470</v>
      </c>
      <c r="K38" s="132">
        <f t="shared" si="1"/>
        <v>90532</v>
      </c>
    </row>
    <row r="39" spans="1:11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7009</v>
      </c>
      <c r="J39" s="132">
        <f t="shared" si="0"/>
        <v>7009</v>
      </c>
      <c r="K39" s="132">
        <f t="shared" si="1"/>
        <v>97541</v>
      </c>
    </row>
    <row r="40" spans="1:11" x14ac:dyDescent="0.25">
      <c r="A40" s="129">
        <v>30</v>
      </c>
      <c r="B40" s="129" t="s">
        <v>183</v>
      </c>
      <c r="C40" s="131">
        <v>0</v>
      </c>
      <c r="D40" s="131">
        <v>6175</v>
      </c>
      <c r="E40" s="131">
        <v>0</v>
      </c>
      <c r="F40" s="131">
        <v>0</v>
      </c>
      <c r="G40" s="131">
        <v>0</v>
      </c>
      <c r="H40" s="131">
        <v>0</v>
      </c>
      <c r="I40" s="131">
        <v>10366</v>
      </c>
      <c r="J40" s="132">
        <f t="shared" si="0"/>
        <v>16541</v>
      </c>
      <c r="K40" s="132">
        <f t="shared" si="1"/>
        <v>114082</v>
      </c>
    </row>
    <row r="41" spans="1:11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1769</v>
      </c>
      <c r="J41" s="132">
        <f t="shared" si="0"/>
        <v>1769</v>
      </c>
      <c r="K41" s="132">
        <f t="shared" si="1"/>
        <v>115851</v>
      </c>
    </row>
    <row r="42" spans="1:11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2">
        <f t="shared" si="0"/>
        <v>0</v>
      </c>
      <c r="K42" s="132">
        <f t="shared" si="1"/>
        <v>115851</v>
      </c>
    </row>
    <row r="43" spans="1:11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2">
        <f t="shared" si="0"/>
        <v>0</v>
      </c>
      <c r="K43" s="132">
        <f t="shared" si="1"/>
        <v>115851</v>
      </c>
    </row>
    <row r="44" spans="1:11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2">
        <f t="shared" si="0"/>
        <v>0</v>
      </c>
      <c r="K44" s="132">
        <f t="shared" si="1"/>
        <v>115851</v>
      </c>
    </row>
    <row r="45" spans="1:11" x14ac:dyDescent="0.25">
      <c r="A45" s="129" t="s">
        <v>197</v>
      </c>
      <c r="B45" s="129" t="s">
        <v>189</v>
      </c>
      <c r="C45" s="131">
        <v>0</v>
      </c>
      <c r="D45" s="131">
        <v>10368</v>
      </c>
      <c r="E45" s="131">
        <v>0</v>
      </c>
      <c r="F45" s="131">
        <v>0</v>
      </c>
      <c r="G45" s="131">
        <v>300</v>
      </c>
      <c r="H45" s="131">
        <v>0</v>
      </c>
      <c r="I45" s="131">
        <v>13837</v>
      </c>
      <c r="J45" s="132">
        <f t="shared" si="0"/>
        <v>24505</v>
      </c>
      <c r="K45" s="132">
        <f t="shared" si="1"/>
        <v>140356</v>
      </c>
    </row>
    <row r="46" spans="1:11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1688</v>
      </c>
      <c r="J46" s="132">
        <f t="shared" si="0"/>
        <v>1688</v>
      </c>
      <c r="K46" s="132">
        <f t="shared" si="1"/>
        <v>142044</v>
      </c>
    </row>
    <row r="47" spans="1:11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1">
        <v>407</v>
      </c>
      <c r="H47" s="131">
        <v>0</v>
      </c>
      <c r="I47" s="131">
        <v>2125</v>
      </c>
      <c r="J47" s="132">
        <f t="shared" si="0"/>
        <v>2532</v>
      </c>
      <c r="K47" s="132">
        <f t="shared" si="1"/>
        <v>144576</v>
      </c>
    </row>
    <row r="48" spans="1:11" x14ac:dyDescent="0.25">
      <c r="A48" s="129">
        <v>38</v>
      </c>
      <c r="B48" s="129" t="s">
        <v>193</v>
      </c>
      <c r="C48" s="131">
        <v>0</v>
      </c>
      <c r="D48" s="131">
        <v>257</v>
      </c>
      <c r="E48" s="131">
        <v>0</v>
      </c>
      <c r="F48" s="131">
        <v>0</v>
      </c>
      <c r="G48" s="131">
        <v>0</v>
      </c>
      <c r="H48" s="131">
        <v>0</v>
      </c>
      <c r="I48" s="131">
        <v>951</v>
      </c>
      <c r="J48" s="132">
        <f t="shared" si="0"/>
        <v>1208</v>
      </c>
      <c r="K48" s="132">
        <f t="shared" si="1"/>
        <v>145784</v>
      </c>
    </row>
    <row r="49" spans="1:11" x14ac:dyDescent="0.25">
      <c r="A49" s="129">
        <v>39</v>
      </c>
      <c r="B49" s="129" t="s">
        <v>195</v>
      </c>
      <c r="C49" s="131">
        <v>0</v>
      </c>
      <c r="D49" s="131">
        <v>688</v>
      </c>
      <c r="E49" s="131">
        <v>0</v>
      </c>
      <c r="F49" s="131">
        <v>813</v>
      </c>
      <c r="G49" s="131">
        <v>445</v>
      </c>
      <c r="H49" s="131">
        <v>0</v>
      </c>
      <c r="I49" s="131">
        <v>3386</v>
      </c>
      <c r="J49" s="132">
        <f t="shared" si="0"/>
        <v>5332</v>
      </c>
      <c r="K49" s="132">
        <f t="shared" si="1"/>
        <v>151116</v>
      </c>
    </row>
    <row r="50" spans="1:11" x14ac:dyDescent="0.25">
      <c r="A50" s="129">
        <v>40</v>
      </c>
      <c r="B50" s="129" t="s">
        <v>198</v>
      </c>
      <c r="C50" s="131">
        <v>0</v>
      </c>
      <c r="D50" s="131">
        <v>399</v>
      </c>
      <c r="E50" s="131">
        <v>0</v>
      </c>
      <c r="F50" s="131">
        <v>0</v>
      </c>
      <c r="G50" s="131">
        <v>0</v>
      </c>
      <c r="H50" s="131">
        <v>0</v>
      </c>
      <c r="I50" s="131">
        <v>1855</v>
      </c>
      <c r="J50" s="132">
        <f t="shared" si="0"/>
        <v>2254</v>
      </c>
      <c r="K50" s="132">
        <f t="shared" si="1"/>
        <v>153370</v>
      </c>
    </row>
    <row r="51" spans="1:11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464</v>
      </c>
      <c r="G51" s="131">
        <v>0</v>
      </c>
      <c r="H51" s="131">
        <v>0</v>
      </c>
      <c r="I51" s="131">
        <v>3602</v>
      </c>
      <c r="J51" s="132">
        <f t="shared" si="0"/>
        <v>4066</v>
      </c>
      <c r="K51" s="132">
        <f t="shared" si="1"/>
        <v>157436</v>
      </c>
    </row>
    <row r="52" spans="1:11" x14ac:dyDescent="0.25">
      <c r="A52" s="129">
        <v>42</v>
      </c>
      <c r="B52" s="129" t="s">
        <v>202</v>
      </c>
      <c r="C52" s="131">
        <v>0</v>
      </c>
      <c r="D52" s="131">
        <v>203</v>
      </c>
      <c r="E52" s="131">
        <v>0</v>
      </c>
      <c r="F52" s="131">
        <v>105</v>
      </c>
      <c r="G52" s="131">
        <v>0</v>
      </c>
      <c r="H52" s="131">
        <v>0</v>
      </c>
      <c r="I52" s="131">
        <v>4841</v>
      </c>
      <c r="J52" s="132">
        <f t="shared" si="0"/>
        <v>5149</v>
      </c>
      <c r="K52" s="132">
        <f t="shared" si="1"/>
        <v>162585</v>
      </c>
    </row>
    <row r="53" spans="1:11" x14ac:dyDescent="0.25">
      <c r="A53" s="129">
        <v>43</v>
      </c>
      <c r="B53" s="129" t="s">
        <v>204</v>
      </c>
      <c r="C53" s="131">
        <v>0</v>
      </c>
      <c r="D53" s="131">
        <v>1362</v>
      </c>
      <c r="E53" s="131">
        <v>0</v>
      </c>
      <c r="F53" s="131">
        <v>421</v>
      </c>
      <c r="G53" s="131">
        <v>0</v>
      </c>
      <c r="H53" s="131">
        <v>0</v>
      </c>
      <c r="I53" s="131">
        <v>5881</v>
      </c>
      <c r="J53" s="132">
        <f t="shared" si="0"/>
        <v>7664</v>
      </c>
      <c r="K53" s="132">
        <f t="shared" si="1"/>
        <v>170249</v>
      </c>
    </row>
    <row r="54" spans="1:11" x14ac:dyDescent="0.25">
      <c r="A54" s="129">
        <v>44</v>
      </c>
      <c r="B54" s="129" t="s">
        <v>206</v>
      </c>
      <c r="C54" s="131">
        <v>0</v>
      </c>
      <c r="D54" s="131">
        <v>814</v>
      </c>
      <c r="E54" s="131">
        <v>0</v>
      </c>
      <c r="F54" s="131">
        <v>568</v>
      </c>
      <c r="G54" s="131">
        <v>0</v>
      </c>
      <c r="H54" s="131">
        <v>0</v>
      </c>
      <c r="I54" s="131">
        <v>2022</v>
      </c>
      <c r="J54" s="132">
        <f t="shared" si="0"/>
        <v>3404</v>
      </c>
      <c r="K54" s="132">
        <f t="shared" si="1"/>
        <v>173653</v>
      </c>
    </row>
    <row r="55" spans="1:11" x14ac:dyDescent="0.25">
      <c r="A55" s="129">
        <v>45</v>
      </c>
      <c r="B55" s="129" t="s">
        <v>207</v>
      </c>
      <c r="C55" s="131">
        <v>0</v>
      </c>
      <c r="D55" s="131">
        <v>1222</v>
      </c>
      <c r="E55" s="131">
        <v>0</v>
      </c>
      <c r="F55" s="131">
        <v>0</v>
      </c>
      <c r="G55" s="131">
        <v>0</v>
      </c>
      <c r="H55" s="131">
        <v>0</v>
      </c>
      <c r="I55" s="131">
        <v>3664</v>
      </c>
      <c r="J55" s="132">
        <f t="shared" si="0"/>
        <v>4886</v>
      </c>
      <c r="K55" s="132">
        <f t="shared" si="1"/>
        <v>178539</v>
      </c>
    </row>
    <row r="56" spans="1:11" x14ac:dyDescent="0.25">
      <c r="A56" s="129">
        <v>46</v>
      </c>
      <c r="B56" s="129" t="s">
        <v>208</v>
      </c>
      <c r="C56" s="131">
        <v>0</v>
      </c>
      <c r="D56" s="131">
        <v>1421</v>
      </c>
      <c r="E56" s="131">
        <v>0</v>
      </c>
      <c r="F56" s="131">
        <v>0</v>
      </c>
      <c r="G56" s="131">
        <v>0</v>
      </c>
      <c r="H56" s="131">
        <v>0</v>
      </c>
      <c r="I56" s="131">
        <v>4890</v>
      </c>
      <c r="J56" s="132">
        <f t="shared" si="0"/>
        <v>6311</v>
      </c>
      <c r="K56" s="132">
        <f t="shared" si="1"/>
        <v>184850</v>
      </c>
    </row>
    <row r="57" spans="1:11" x14ac:dyDescent="0.25">
      <c r="A57" s="129">
        <v>47</v>
      </c>
      <c r="B57" s="129" t="s">
        <v>209</v>
      </c>
      <c r="C57" s="131">
        <v>0</v>
      </c>
      <c r="D57" s="131">
        <v>867</v>
      </c>
      <c r="E57" s="131">
        <v>0</v>
      </c>
      <c r="F57" s="131">
        <v>0</v>
      </c>
      <c r="G57" s="131">
        <v>0</v>
      </c>
      <c r="H57" s="131">
        <v>0</v>
      </c>
      <c r="I57" s="131">
        <v>3957</v>
      </c>
      <c r="J57" s="132">
        <f t="shared" si="0"/>
        <v>4824</v>
      </c>
      <c r="K57" s="132">
        <f t="shared" si="1"/>
        <v>189674</v>
      </c>
    </row>
    <row r="58" spans="1:11" x14ac:dyDescent="0.25">
      <c r="A58" s="129">
        <v>48</v>
      </c>
      <c r="B58" s="129" t="s">
        <v>211</v>
      </c>
      <c r="C58" s="131">
        <v>0</v>
      </c>
      <c r="D58" s="131">
        <v>1202</v>
      </c>
      <c r="E58" s="131">
        <v>0</v>
      </c>
      <c r="F58" s="131">
        <v>107</v>
      </c>
      <c r="G58" s="131">
        <v>0</v>
      </c>
      <c r="H58" s="131">
        <v>19995</v>
      </c>
      <c r="I58" s="131">
        <v>7825</v>
      </c>
      <c r="J58" s="132">
        <f t="shared" si="0"/>
        <v>29129</v>
      </c>
      <c r="K58" s="132">
        <f t="shared" si="1"/>
        <v>218803</v>
      </c>
    </row>
    <row r="59" spans="1:11" x14ac:dyDescent="0.25">
      <c r="A59" s="129">
        <v>49</v>
      </c>
      <c r="B59" s="129" t="s">
        <v>213</v>
      </c>
      <c r="C59" s="131">
        <v>0</v>
      </c>
      <c r="D59" s="131">
        <v>180</v>
      </c>
      <c r="E59" s="131">
        <v>0</v>
      </c>
      <c r="F59" s="131">
        <v>0</v>
      </c>
      <c r="G59" s="131">
        <v>0</v>
      </c>
      <c r="H59" s="131">
        <v>0</v>
      </c>
      <c r="I59" s="131">
        <v>6217</v>
      </c>
      <c r="J59" s="132">
        <f t="shared" si="0"/>
        <v>6397</v>
      </c>
      <c r="K59" s="132">
        <f t="shared" si="1"/>
        <v>225200</v>
      </c>
    </row>
    <row r="60" spans="1:11" x14ac:dyDescent="0.25">
      <c r="A60" s="129">
        <v>50</v>
      </c>
      <c r="B60" s="129" t="s">
        <v>214</v>
      </c>
      <c r="C60" s="131">
        <v>809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5273</v>
      </c>
      <c r="J60" s="132">
        <f t="shared" si="0"/>
        <v>6082</v>
      </c>
      <c r="K60" s="132">
        <f t="shared" si="1"/>
        <v>231282</v>
      </c>
    </row>
    <row r="61" spans="1:11" x14ac:dyDescent="0.25">
      <c r="A61" s="129">
        <v>51</v>
      </c>
      <c r="B61" s="129" t="s">
        <v>217</v>
      </c>
      <c r="C61" s="131">
        <v>600</v>
      </c>
      <c r="D61" s="131">
        <v>102</v>
      </c>
      <c r="E61" s="131">
        <v>0</v>
      </c>
      <c r="F61" s="131">
        <v>0</v>
      </c>
      <c r="G61" s="131">
        <v>0</v>
      </c>
      <c r="H61" s="131">
        <v>0</v>
      </c>
      <c r="I61" s="131">
        <v>2001</v>
      </c>
      <c r="J61" s="132">
        <f t="shared" si="0"/>
        <v>2703</v>
      </c>
      <c r="K61" s="132">
        <f t="shared" si="1"/>
        <v>233985</v>
      </c>
    </row>
    <row r="62" spans="1:11" x14ac:dyDescent="0.25">
      <c r="A62" s="129">
        <v>52</v>
      </c>
      <c r="B62" s="129" t="s">
        <v>218</v>
      </c>
      <c r="C62" s="131">
        <v>902</v>
      </c>
      <c r="D62" s="131">
        <v>116</v>
      </c>
      <c r="E62" s="131">
        <v>0</v>
      </c>
      <c r="F62" s="131">
        <v>0</v>
      </c>
      <c r="G62" s="131">
        <v>0</v>
      </c>
      <c r="H62" s="131">
        <v>0</v>
      </c>
      <c r="I62" s="131">
        <v>3772</v>
      </c>
      <c r="J62" s="132">
        <f t="shared" si="0"/>
        <v>4790</v>
      </c>
      <c r="K62" s="132">
        <f t="shared" si="1"/>
        <v>238775</v>
      </c>
    </row>
    <row r="63" spans="1:11" x14ac:dyDescent="0.25">
      <c r="A63" s="129" t="s">
        <v>116</v>
      </c>
      <c r="B63" s="129" t="s">
        <v>117</v>
      </c>
      <c r="C63" s="132">
        <f t="shared" ref="C63:I63" si="2">SUM(C11:C62)</f>
        <v>2311</v>
      </c>
      <c r="D63" s="132">
        <f t="shared" si="2"/>
        <v>38229</v>
      </c>
      <c r="E63" s="132">
        <f t="shared" si="2"/>
        <v>68</v>
      </c>
      <c r="F63" s="132">
        <f t="shared" si="2"/>
        <v>2478</v>
      </c>
      <c r="G63" s="132">
        <f t="shared" si="2"/>
        <v>1152</v>
      </c>
      <c r="H63" s="132">
        <f t="shared" si="2"/>
        <v>19995</v>
      </c>
      <c r="I63" s="132">
        <f t="shared" si="2"/>
        <v>174542</v>
      </c>
      <c r="J63" s="132">
        <f>SUM(J11:J62)</f>
        <v>238775</v>
      </c>
      <c r="K63" s="132"/>
    </row>
    <row r="65" spans="1:1" x14ac:dyDescent="0.25">
      <c r="A65" t="s">
        <v>194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68" customFormat="1" ht="15.6" x14ac:dyDescent="0.3">
      <c r="A1" s="67" t="s">
        <v>168</v>
      </c>
    </row>
    <row r="2" spans="1:8" s="68" customFormat="1" ht="15.6" x14ac:dyDescent="0.3">
      <c r="A2" s="67" t="s">
        <v>169</v>
      </c>
    </row>
    <row r="3" spans="1:8" s="68" customFormat="1" ht="15" x14ac:dyDescent="0.25"/>
    <row r="4" spans="1:8" s="68" customFormat="1" ht="15" x14ac:dyDescent="0.25">
      <c r="A4" s="121" t="s">
        <v>127</v>
      </c>
      <c r="B4" s="97" t="e">
        <f>#REF!</f>
        <v>#REF!</v>
      </c>
    </row>
    <row r="5" spans="1:8" s="68" customFormat="1" ht="15" x14ac:dyDescent="0.25">
      <c r="A5" s="121" t="s">
        <v>123</v>
      </c>
      <c r="B5" s="69" t="e">
        <f>B4</f>
        <v>#REF!</v>
      </c>
    </row>
    <row r="7" spans="1:8" ht="15.6" x14ac:dyDescent="0.3">
      <c r="A7" s="232" t="s">
        <v>205</v>
      </c>
      <c r="B7" s="233"/>
      <c r="C7" s="233"/>
      <c r="D7" s="233"/>
      <c r="E7" s="233"/>
      <c r="F7" s="233"/>
      <c r="G7" s="233"/>
      <c r="H7" s="234"/>
    </row>
    <row r="8" spans="1:8" ht="15.6" x14ac:dyDescent="0.3">
      <c r="A8" s="232" t="s">
        <v>200</v>
      </c>
      <c r="B8" s="233"/>
      <c r="C8" s="233"/>
      <c r="D8" s="233"/>
      <c r="E8" s="233"/>
      <c r="F8" s="233"/>
      <c r="G8" s="233"/>
      <c r="H8" s="234"/>
    </row>
    <row r="9" spans="1:8" x14ac:dyDescent="0.25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5">
      <c r="A10" s="130"/>
      <c r="B10" s="130" t="s">
        <v>114</v>
      </c>
      <c r="C10" s="130" t="s">
        <v>190</v>
      </c>
      <c r="D10" s="130" t="s">
        <v>166</v>
      </c>
      <c r="E10" s="130" t="s">
        <v>167</v>
      </c>
      <c r="F10" s="130" t="s">
        <v>163</v>
      </c>
      <c r="G10" s="130" t="s">
        <v>142</v>
      </c>
      <c r="H10" s="130" t="s">
        <v>142</v>
      </c>
    </row>
    <row r="11" spans="1:8" x14ac:dyDescent="0.25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5">
      <c r="A12" s="129">
        <v>2</v>
      </c>
      <c r="B12" s="129" t="s">
        <v>132</v>
      </c>
      <c r="C12" s="131">
        <v>0</v>
      </c>
      <c r="D12" s="131">
        <v>87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5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5">
      <c r="A14" s="129">
        <v>4</v>
      </c>
      <c r="B14" s="129" t="s">
        <v>134</v>
      </c>
      <c r="C14" s="131">
        <v>0</v>
      </c>
      <c r="D14" s="131">
        <v>0</v>
      </c>
      <c r="E14" s="131">
        <v>1115</v>
      </c>
      <c r="F14" s="131">
        <v>912</v>
      </c>
      <c r="G14" s="132">
        <f t="shared" si="0"/>
        <v>2027</v>
      </c>
      <c r="H14" s="132">
        <f t="shared" si="1"/>
        <v>2114</v>
      </c>
    </row>
    <row r="15" spans="1:8" x14ac:dyDescent="0.25">
      <c r="A15" s="129">
        <v>5</v>
      </c>
      <c r="B15" s="129" t="s">
        <v>135</v>
      </c>
      <c r="C15" s="131">
        <v>0</v>
      </c>
      <c r="D15" s="131">
        <v>0</v>
      </c>
      <c r="E15" s="131">
        <v>290</v>
      </c>
      <c r="F15" s="131">
        <v>0</v>
      </c>
      <c r="G15" s="132">
        <f t="shared" si="0"/>
        <v>290</v>
      </c>
      <c r="H15" s="132">
        <f t="shared" si="1"/>
        <v>2404</v>
      </c>
    </row>
    <row r="16" spans="1:8" x14ac:dyDescent="0.25">
      <c r="A16" s="129">
        <v>6</v>
      </c>
      <c r="B16" s="129" t="s">
        <v>136</v>
      </c>
      <c r="C16" s="131">
        <v>0</v>
      </c>
      <c r="D16" s="131">
        <v>0</v>
      </c>
      <c r="E16" s="131">
        <v>426</v>
      </c>
      <c r="F16" s="131">
        <v>0</v>
      </c>
      <c r="G16" s="132">
        <f t="shared" si="0"/>
        <v>426</v>
      </c>
      <c r="H16" s="132">
        <f t="shared" si="1"/>
        <v>2830</v>
      </c>
    </row>
    <row r="17" spans="1:8" x14ac:dyDescent="0.25">
      <c r="A17" s="129">
        <v>7</v>
      </c>
      <c r="B17" s="129" t="s">
        <v>137</v>
      </c>
      <c r="C17" s="131">
        <v>0</v>
      </c>
      <c r="D17" s="131">
        <v>0</v>
      </c>
      <c r="E17" s="131">
        <v>71</v>
      </c>
      <c r="F17" s="131">
        <v>0</v>
      </c>
      <c r="G17" s="132">
        <f t="shared" si="0"/>
        <v>71</v>
      </c>
      <c r="H17" s="132">
        <f t="shared" si="1"/>
        <v>2901</v>
      </c>
    </row>
    <row r="18" spans="1:8" x14ac:dyDescent="0.25">
      <c r="A18" s="129">
        <v>8</v>
      </c>
      <c r="B18" s="129" t="s">
        <v>138</v>
      </c>
      <c r="C18" s="131">
        <v>0</v>
      </c>
      <c r="D18" s="131">
        <v>131</v>
      </c>
      <c r="E18" s="131">
        <v>1096</v>
      </c>
      <c r="F18" s="131">
        <v>0</v>
      </c>
      <c r="G18" s="132">
        <f t="shared" si="0"/>
        <v>1227</v>
      </c>
      <c r="H18" s="132">
        <f t="shared" si="1"/>
        <v>4128</v>
      </c>
    </row>
    <row r="19" spans="1:8" x14ac:dyDescent="0.25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4128</v>
      </c>
    </row>
    <row r="20" spans="1:8" x14ac:dyDescent="0.25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4128</v>
      </c>
    </row>
    <row r="21" spans="1:8" x14ac:dyDescent="0.25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4128</v>
      </c>
    </row>
    <row r="22" spans="1:8" x14ac:dyDescent="0.25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4128</v>
      </c>
    </row>
    <row r="23" spans="1:8" x14ac:dyDescent="0.25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4128</v>
      </c>
    </row>
    <row r="24" spans="1:8" x14ac:dyDescent="0.25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4128</v>
      </c>
    </row>
    <row r="25" spans="1:8" x14ac:dyDescent="0.25">
      <c r="A25" s="129">
        <v>15</v>
      </c>
      <c r="B25" s="129" t="s">
        <v>151</v>
      </c>
      <c r="C25" s="131">
        <v>0</v>
      </c>
      <c r="D25" s="131">
        <v>39</v>
      </c>
      <c r="E25" s="131">
        <v>0</v>
      </c>
      <c r="F25" s="131">
        <v>0</v>
      </c>
      <c r="G25" s="132">
        <f t="shared" si="0"/>
        <v>39</v>
      </c>
      <c r="H25" s="132">
        <f t="shared" si="1"/>
        <v>4167</v>
      </c>
    </row>
    <row r="26" spans="1:8" x14ac:dyDescent="0.25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4167</v>
      </c>
    </row>
    <row r="27" spans="1:8" x14ac:dyDescent="0.25">
      <c r="A27" s="129">
        <v>17</v>
      </c>
      <c r="B27" s="129" t="s">
        <v>158</v>
      </c>
      <c r="C27" s="131">
        <v>0</v>
      </c>
      <c r="D27" s="131">
        <v>0</v>
      </c>
      <c r="E27" s="131">
        <v>97</v>
      </c>
      <c r="F27" s="131">
        <v>0</v>
      </c>
      <c r="G27" s="132">
        <f t="shared" si="0"/>
        <v>97</v>
      </c>
      <c r="H27" s="132">
        <f t="shared" si="1"/>
        <v>4264</v>
      </c>
    </row>
    <row r="28" spans="1:8" x14ac:dyDescent="0.25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4264</v>
      </c>
    </row>
    <row r="29" spans="1:8" x14ac:dyDescent="0.25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2">
        <f t="shared" si="0"/>
        <v>0</v>
      </c>
      <c r="H29" s="132">
        <f t="shared" si="1"/>
        <v>4264</v>
      </c>
    </row>
    <row r="30" spans="1:8" x14ac:dyDescent="0.25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4264</v>
      </c>
    </row>
    <row r="31" spans="1:8" x14ac:dyDescent="0.25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4264</v>
      </c>
    </row>
    <row r="32" spans="1:8" x14ac:dyDescent="0.25">
      <c r="A32" s="129">
        <v>22</v>
      </c>
      <c r="B32" s="129" t="s">
        <v>173</v>
      </c>
      <c r="C32" s="131">
        <v>0</v>
      </c>
      <c r="D32" s="131">
        <v>210</v>
      </c>
      <c r="E32" s="131">
        <v>0</v>
      </c>
      <c r="F32" s="131">
        <v>0</v>
      </c>
      <c r="G32" s="132">
        <f t="shared" si="0"/>
        <v>210</v>
      </c>
      <c r="H32" s="132">
        <f t="shared" si="1"/>
        <v>4474</v>
      </c>
    </row>
    <row r="33" spans="1:8" x14ac:dyDescent="0.25">
      <c r="A33" s="129">
        <v>23</v>
      </c>
      <c r="B33" s="129" t="s">
        <v>174</v>
      </c>
      <c r="C33" s="131">
        <v>0</v>
      </c>
      <c r="D33" s="131">
        <v>129</v>
      </c>
      <c r="E33" s="131">
        <v>0</v>
      </c>
      <c r="F33" s="131">
        <v>0</v>
      </c>
      <c r="G33" s="132">
        <f t="shared" si="0"/>
        <v>129</v>
      </c>
      <c r="H33" s="132">
        <f t="shared" si="1"/>
        <v>4603</v>
      </c>
    </row>
    <row r="34" spans="1:8" x14ac:dyDescent="0.25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4603</v>
      </c>
    </row>
    <row r="35" spans="1:8" x14ac:dyDescent="0.25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2">
        <f t="shared" si="0"/>
        <v>0</v>
      </c>
      <c r="H35" s="132">
        <f t="shared" si="1"/>
        <v>4603</v>
      </c>
    </row>
    <row r="36" spans="1:8" x14ac:dyDescent="0.25">
      <c r="A36" s="129">
        <v>26</v>
      </c>
      <c r="B36" s="129" t="s">
        <v>178</v>
      </c>
      <c r="C36" s="131">
        <v>0</v>
      </c>
      <c r="D36" s="131">
        <v>298</v>
      </c>
      <c r="E36" s="131">
        <v>0</v>
      </c>
      <c r="F36" s="131">
        <v>0</v>
      </c>
      <c r="G36" s="132">
        <f t="shared" si="0"/>
        <v>298</v>
      </c>
      <c r="H36" s="132">
        <f t="shared" si="1"/>
        <v>4901</v>
      </c>
    </row>
    <row r="37" spans="1:8" x14ac:dyDescent="0.25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4901</v>
      </c>
    </row>
    <row r="38" spans="1:8" x14ac:dyDescent="0.25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4901</v>
      </c>
    </row>
    <row r="39" spans="1:8" x14ac:dyDescent="0.25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4901</v>
      </c>
    </row>
    <row r="40" spans="1:8" x14ac:dyDescent="0.25">
      <c r="A40" s="129">
        <v>30</v>
      </c>
      <c r="B40" s="129" t="s">
        <v>183</v>
      </c>
      <c r="C40" s="131">
        <v>724</v>
      </c>
      <c r="D40" s="131">
        <v>136</v>
      </c>
      <c r="E40" s="131">
        <v>0</v>
      </c>
      <c r="F40" s="131">
        <v>0</v>
      </c>
      <c r="G40" s="132">
        <f t="shared" si="0"/>
        <v>860</v>
      </c>
      <c r="H40" s="132">
        <f t="shared" si="1"/>
        <v>5761</v>
      </c>
    </row>
    <row r="41" spans="1:8" x14ac:dyDescent="0.25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5761</v>
      </c>
    </row>
    <row r="42" spans="1:8" x14ac:dyDescent="0.25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5761</v>
      </c>
    </row>
    <row r="43" spans="1:8" x14ac:dyDescent="0.25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5761</v>
      </c>
    </row>
    <row r="44" spans="1:8" x14ac:dyDescent="0.25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5761</v>
      </c>
    </row>
    <row r="45" spans="1:8" x14ac:dyDescent="0.25">
      <c r="A45" s="129" t="s">
        <v>197</v>
      </c>
      <c r="B45" s="129" t="s">
        <v>189</v>
      </c>
      <c r="C45" s="131">
        <v>0</v>
      </c>
      <c r="D45" s="131">
        <v>374</v>
      </c>
      <c r="E45" s="131">
        <v>0</v>
      </c>
      <c r="F45" s="131">
        <v>3000</v>
      </c>
      <c r="G45" s="132">
        <f t="shared" si="0"/>
        <v>3374</v>
      </c>
      <c r="H45" s="132">
        <f t="shared" si="1"/>
        <v>9135</v>
      </c>
    </row>
    <row r="46" spans="1:8" x14ac:dyDescent="0.25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466</v>
      </c>
      <c r="G46" s="132">
        <f t="shared" si="0"/>
        <v>466</v>
      </c>
      <c r="H46" s="132">
        <f t="shared" si="1"/>
        <v>9601</v>
      </c>
    </row>
    <row r="47" spans="1:8" x14ac:dyDescent="0.25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1212</v>
      </c>
      <c r="G47" s="132">
        <f t="shared" si="0"/>
        <v>1212</v>
      </c>
      <c r="H47" s="132">
        <f t="shared" si="1"/>
        <v>10813</v>
      </c>
    </row>
    <row r="48" spans="1:8" x14ac:dyDescent="0.25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1327</v>
      </c>
      <c r="G48" s="132">
        <f t="shared" si="0"/>
        <v>1327</v>
      </c>
      <c r="H48" s="132">
        <f t="shared" si="1"/>
        <v>12140</v>
      </c>
    </row>
    <row r="49" spans="1:8" x14ac:dyDescent="0.25">
      <c r="A49" s="129">
        <v>39</v>
      </c>
      <c r="B49" s="129" t="s">
        <v>195</v>
      </c>
      <c r="C49" s="131">
        <v>0</v>
      </c>
      <c r="D49" s="131">
        <v>141</v>
      </c>
      <c r="E49" s="131">
        <v>0</v>
      </c>
      <c r="F49" s="131">
        <v>1081</v>
      </c>
      <c r="G49" s="132">
        <f t="shared" si="0"/>
        <v>1222</v>
      </c>
      <c r="H49" s="132">
        <f t="shared" si="1"/>
        <v>13362</v>
      </c>
    </row>
    <row r="50" spans="1:8" x14ac:dyDescent="0.25">
      <c r="A50" s="129">
        <v>40</v>
      </c>
      <c r="B50" s="129" t="s">
        <v>198</v>
      </c>
      <c r="C50" s="131">
        <v>0</v>
      </c>
      <c r="D50" s="131">
        <v>0</v>
      </c>
      <c r="E50" s="131">
        <v>0</v>
      </c>
      <c r="F50" s="131">
        <v>641</v>
      </c>
      <c r="G50" s="132">
        <f t="shared" si="0"/>
        <v>641</v>
      </c>
      <c r="H50" s="132">
        <f t="shared" si="1"/>
        <v>14003</v>
      </c>
    </row>
    <row r="51" spans="1:8" x14ac:dyDescent="0.25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14003</v>
      </c>
    </row>
    <row r="52" spans="1:8" x14ac:dyDescent="0.25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14003</v>
      </c>
    </row>
    <row r="53" spans="1:8" x14ac:dyDescent="0.25">
      <c r="A53" s="129">
        <v>43</v>
      </c>
      <c r="B53" s="129" t="s">
        <v>204</v>
      </c>
      <c r="C53" s="131">
        <v>0</v>
      </c>
      <c r="D53" s="131">
        <v>135</v>
      </c>
      <c r="E53" s="131">
        <v>0</v>
      </c>
      <c r="F53" s="131">
        <v>0</v>
      </c>
      <c r="G53" s="132">
        <f t="shared" si="0"/>
        <v>135</v>
      </c>
      <c r="H53" s="132">
        <f t="shared" si="1"/>
        <v>14138</v>
      </c>
    </row>
    <row r="54" spans="1:8" x14ac:dyDescent="0.25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14138</v>
      </c>
    </row>
    <row r="55" spans="1:8" x14ac:dyDescent="0.25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0</v>
      </c>
      <c r="G55" s="132">
        <f t="shared" si="0"/>
        <v>0</v>
      </c>
      <c r="H55" s="132">
        <f t="shared" si="1"/>
        <v>14138</v>
      </c>
    </row>
    <row r="56" spans="1:8" x14ac:dyDescent="0.25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14138</v>
      </c>
    </row>
    <row r="57" spans="1:8" x14ac:dyDescent="0.25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14138</v>
      </c>
    </row>
    <row r="58" spans="1:8" x14ac:dyDescent="0.25">
      <c r="A58" s="129">
        <v>48</v>
      </c>
      <c r="B58" s="129" t="s">
        <v>211</v>
      </c>
      <c r="C58" s="131">
        <v>0</v>
      </c>
      <c r="D58" s="131">
        <v>14</v>
      </c>
      <c r="E58" s="131">
        <v>429</v>
      </c>
      <c r="F58" s="131">
        <v>721</v>
      </c>
      <c r="G58" s="132">
        <f t="shared" si="0"/>
        <v>1164</v>
      </c>
      <c r="H58" s="132">
        <f t="shared" si="1"/>
        <v>15302</v>
      </c>
    </row>
    <row r="59" spans="1:8" x14ac:dyDescent="0.25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15302</v>
      </c>
    </row>
    <row r="60" spans="1:8" x14ac:dyDescent="0.25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15302</v>
      </c>
    </row>
    <row r="61" spans="1:8" x14ac:dyDescent="0.25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15302</v>
      </c>
    </row>
    <row r="62" spans="1:8" x14ac:dyDescent="0.25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15302</v>
      </c>
    </row>
    <row r="63" spans="1:8" x14ac:dyDescent="0.25">
      <c r="A63" s="129" t="s">
        <v>116</v>
      </c>
      <c r="B63" s="129" t="s">
        <v>117</v>
      </c>
      <c r="C63" s="132">
        <f>SUM(C11:C62)</f>
        <v>724</v>
      </c>
      <c r="D63" s="132">
        <f>SUM(D11:D62)</f>
        <v>1694</v>
      </c>
      <c r="E63" s="132">
        <f>SUM(E11:E62)</f>
        <v>3524</v>
      </c>
      <c r="F63" s="132">
        <f>SUM(F11:F62)</f>
        <v>9360</v>
      </c>
      <c r="G63" s="132">
        <f>SUM(G11:G62)</f>
        <v>15302</v>
      </c>
      <c r="H63" s="132"/>
    </row>
    <row r="65" spans="1:1" x14ac:dyDescent="0.25">
      <c r="A65" t="s">
        <v>194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4.xml><?xml version="1.0" encoding="utf-8"?>
<ds:datastoreItem xmlns:ds="http://schemas.openxmlformats.org/officeDocument/2006/customXml" ds:itemID="{AFD1B0AE-D94E-4063-887F-22CAE3297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2019-06-13T13:10:59Z</cp:lastPrinted>
  <dcterms:created xsi:type="dcterms:W3CDTF">2005-05-06T06:48:19Z</dcterms:created>
  <dcterms:modified xsi:type="dcterms:W3CDTF">2024-09-05T10:20:35Z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